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520" yWindow="375" windowWidth="15675" windowHeight="1231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GEG</author>
  </authors>
  <commentList>
    <comment ref="H9" authorId="0">
      <text>
        <r>
          <rPr>
            <b/>
            <sz val="10"/>
            <rFont val="Tahoma"/>
            <family val="2"/>
          </rPr>
          <t>GEG:</t>
        </r>
        <r>
          <rPr>
            <sz val="10"/>
            <rFont val="Tahoma"/>
            <family val="2"/>
          </rPr>
          <t xml:space="preserve">
ставим поступление денег по графику на 30.06.</t>
        </r>
      </text>
    </comment>
    <comment ref="I9" authorId="0">
      <text>
        <r>
          <rPr>
            <b/>
            <sz val="10"/>
            <rFont val="Tahoma"/>
            <family val="2"/>
          </rPr>
          <t>GEG:</t>
        </r>
        <r>
          <rPr>
            <sz val="10"/>
            <rFont val="Tahoma"/>
            <family val="2"/>
          </rPr>
          <t xml:space="preserve">
сколько пришло денег-столько факт.потрачено, кроме выполнения работ в 3 кв-ле и ГЛОНАСС</t>
        </r>
      </text>
    </comment>
    <comment ref="L21" authorId="0">
      <text>
        <r>
          <rPr>
            <b/>
            <sz val="8"/>
            <rFont val="Tahoma"/>
            <family val="2"/>
          </rPr>
          <t>GEG:</t>
        </r>
        <r>
          <rPr>
            <sz val="8"/>
            <rFont val="Tahoma"/>
            <family val="2"/>
          </rPr>
          <t xml:space="preserve">
объем утилизации МВК + ССП подрядчик</t>
        </r>
      </text>
    </comment>
    <comment ref="G36" authorId="0">
      <text>
        <r>
          <rPr>
            <b/>
            <sz val="10"/>
            <rFont val="Tahoma"/>
            <family val="2"/>
          </rPr>
          <t>GEG:</t>
        </r>
        <r>
          <rPr>
            <sz val="10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2"/>
          </rPr>
          <t>GEG:</t>
        </r>
        <r>
          <rPr>
            <sz val="8"/>
            <rFont val="Tahoma"/>
            <family val="2"/>
          </rPr>
          <t xml:space="preserve">
прибавила дворы</t>
        </r>
      </text>
    </comment>
  </commentList>
</comments>
</file>

<file path=xl/sharedStrings.xml><?xml version="1.0" encoding="utf-8"?>
<sst xmlns="http://schemas.openxmlformats.org/spreadsheetml/2006/main" count="202" uniqueCount="132">
  <si>
    <t>объекты</t>
  </si>
  <si>
    <t>кв.м.</t>
  </si>
  <si>
    <t>площадь дворовых территорий 1 категории</t>
  </si>
  <si>
    <t>площадь</t>
  </si>
  <si>
    <t>количество объединенных диспетчерских служб</t>
  </si>
  <si>
    <t>ед.</t>
  </si>
  <si>
    <t>шт.</t>
  </si>
  <si>
    <t>Затраты на оказание (выполнение государственных услуг (работ) (тыс.руб.) (плановое)</t>
  </si>
  <si>
    <t>Характеристика причин отклонения от запланированных значений</t>
  </si>
  <si>
    <t>Фактическое значение</t>
  </si>
  <si>
    <t>Единица измерения</t>
  </si>
  <si>
    <t>Наименование показателя</t>
  </si>
  <si>
    <t>Наименование государственной услуги (работы)</t>
  </si>
  <si>
    <t xml:space="preserve"> кв.м.</t>
  </si>
  <si>
    <t>12.Текущий ремонт цветников</t>
  </si>
  <si>
    <t>шт</t>
  </si>
  <si>
    <t>11.Установка МАФ на дворовой территории</t>
  </si>
  <si>
    <t>13.Тек.рем.качелей подвесных</t>
  </si>
  <si>
    <t>14.Текущий ремонт газонов</t>
  </si>
  <si>
    <t>15. Уход за зелеными насаждениями</t>
  </si>
  <si>
    <t>16.Текущий ремонт АПБ дворовых территорий</t>
  </si>
  <si>
    <t>Итого</t>
  </si>
  <si>
    <t>количество ламп сигналов</t>
  </si>
  <si>
    <t>7. компенсация по нераспределенным жилым помещениям</t>
  </si>
  <si>
    <t>Итого по дворовым территориям</t>
  </si>
  <si>
    <t>5. Благоустройство территорий прилегающих к государственным образовательным учреждениям города Москвы , которые подведомственны Департаменту образования города Москвы</t>
  </si>
  <si>
    <t>площадь благоустроительных территорий</t>
  </si>
  <si>
    <t>количество благоустроительных общеобразовательных учреждений</t>
  </si>
  <si>
    <t xml:space="preserve">выполнение планируется в3 квартале </t>
  </si>
  <si>
    <t xml:space="preserve">выполнение планируется в 3 квартале </t>
  </si>
  <si>
    <t>площадь проезжей части III категории</t>
  </si>
  <si>
    <t>площадь тротуаров  III категории подлежащая механизированной  уборке</t>
  </si>
  <si>
    <t>площадь тротуаров  III категории подлежащая ручной  уборке</t>
  </si>
  <si>
    <t>площадь тротуаров  IV категории подлежащая механизированной  уборке</t>
  </si>
  <si>
    <t>площадь тротуаров  IV категории подлежащая ручной  уборке</t>
  </si>
  <si>
    <t>протяженность барьерных ограждений</t>
  </si>
  <si>
    <t>п.м.</t>
  </si>
  <si>
    <t>Объем снега</t>
  </si>
  <si>
    <t>куб.м.</t>
  </si>
  <si>
    <t>площадь тротуаров  на внекатегорийных объектах дорожного хозяйства (ОДХ внутри садового кольца) , подлежащих ручной уборке</t>
  </si>
  <si>
    <t>объем снега</t>
  </si>
  <si>
    <t xml:space="preserve"> Площадь проезжей части IV категории</t>
  </si>
  <si>
    <t>Источник(и) информации о фактическом значении показателя</t>
  </si>
  <si>
    <t>Объемы государственных услуг</t>
  </si>
  <si>
    <t>Результаты выполнения работ</t>
  </si>
  <si>
    <t xml:space="preserve">площадь благоустроенных территорий </t>
  </si>
  <si>
    <t>площадь тротуаров  на внекатегорийных объектах дорожного хозяйства (ОДХ внутри Садового кольца) , подлежащих механизированной уборке</t>
  </si>
  <si>
    <t xml:space="preserve">площадь  проезжей части внекатегорийных объектов дорожного хозяйства (ОДХ внутри Садового кольца) </t>
  </si>
  <si>
    <t>Исп. Грандовская Т.С.</t>
  </si>
  <si>
    <t>Итого по ОДС</t>
  </si>
  <si>
    <t>площадь территории</t>
  </si>
  <si>
    <t>выявленные нарушения по данным телеметрической системы ГЛОНАСС</t>
  </si>
  <si>
    <t>площадь жилых и нежилых помещений</t>
  </si>
  <si>
    <t>Уборка (очистка и мойка) дорожных знаков на объектах дорожного хозяйства</t>
  </si>
  <si>
    <t>Количество знаков</t>
  </si>
  <si>
    <t xml:space="preserve"> Обеспечение эксплуатации и функционирования технологического оборудования объединенных диспетчерских служб</t>
  </si>
  <si>
    <r>
      <t xml:space="preserve"> Содержание дворовых территорий </t>
    </r>
    <r>
      <rPr>
        <b/>
        <sz val="11"/>
        <color indexed="8"/>
        <rFont val="Times New Roman"/>
        <family val="1"/>
      </rPr>
      <t>1 категории</t>
    </r>
    <r>
      <rPr>
        <sz val="11"/>
        <color indexed="8"/>
        <rFont val="Times New Roman"/>
        <family val="1"/>
      </rPr>
      <t>, за исключением катков с искуственным льдом</t>
    </r>
  </si>
  <si>
    <r>
      <t xml:space="preserve"> Содержание дворовых территорий </t>
    </r>
    <r>
      <rPr>
        <b/>
        <sz val="11"/>
        <color indexed="8"/>
        <rFont val="Times New Roman"/>
        <family val="1"/>
      </rPr>
      <t>2 категории</t>
    </r>
    <r>
      <rPr>
        <sz val="11"/>
        <color indexed="8"/>
        <rFont val="Times New Roman"/>
        <family val="1"/>
      </rPr>
      <t>, за исключением катков с искуственным льдом</t>
    </r>
  </si>
  <si>
    <t xml:space="preserve"> Обеспечение эксплуатации и функционирования объединенных диспетчерских служб</t>
  </si>
  <si>
    <t xml:space="preserve">  Погрузка и  транспортировка снега с парковок на улично-дорожной сети вне зависимости от категории утилизации снега </t>
  </si>
  <si>
    <t xml:space="preserve">  Комплексное содержание парковок на улично-дорожной сети внутри ТТК, за исключением погрузки, транспортировки и утилизации снега </t>
  </si>
  <si>
    <t xml:space="preserve">  Утилизация снега с объектов дорожного хозяйства на ССП работающих на водосбросных водах ТЭЦ</t>
  </si>
  <si>
    <t xml:space="preserve">  Утилизация снега с объектов дорожного хозяйства на ССП ОАО "Мосводоканал"</t>
  </si>
  <si>
    <t xml:space="preserve">  Погрузка и транспортировка снега с объектов дорожного хозяйства IV категории</t>
  </si>
  <si>
    <t xml:space="preserve">  Погрузка и транспортировка снега с объектов дорожного хозяйства III  категории</t>
  </si>
  <si>
    <t xml:space="preserve">  Комплексное содержание барьерных ограждений</t>
  </si>
  <si>
    <t xml:space="preserve">  Погрузка и транспортировка снега с внекатегорийных объектов дорожного хозяйства (ОДХ внутри садового кольца)</t>
  </si>
  <si>
    <t xml:space="preserve">   Комплексное содержание тротуаров (механизированная уборка тротуаров) IV категории объектов дорожного хозяйства за исключением погрузки , транспортировки и утилизации снега</t>
  </si>
  <si>
    <t xml:space="preserve"> Комплексное содержание тротуаров (ручная уборка тротуаров) III категории объектов дорожного хозяйства за исключением погрузки , транспортировки и утилизации снега</t>
  </si>
  <si>
    <t xml:space="preserve">   Комплексное содержание тротуаров (механизированная уборка тротуаров) III категории объектов дорожного хозяйства за исключением погрузки , транспортировки и утилизации снега</t>
  </si>
  <si>
    <r>
      <t xml:space="preserve"> Комплексное содержание</t>
    </r>
    <r>
      <rPr>
        <b/>
        <sz val="11"/>
        <rFont val="Times New Roman"/>
        <family val="1"/>
      </rPr>
      <t xml:space="preserve"> проезжей</t>
    </r>
    <r>
      <rPr>
        <sz val="11"/>
        <rFont val="Times New Roman"/>
        <family val="1"/>
      </rPr>
      <t xml:space="preserve"> части III категории объектов дорожного хозяйства за исключением погрузки , транспортировки и утилизации снега</t>
    </r>
  </si>
  <si>
    <r>
      <t xml:space="preserve"> Содержание дворовых территорий </t>
    </r>
    <r>
      <rPr>
        <b/>
        <sz val="11"/>
        <color indexed="8"/>
        <rFont val="Times New Roman"/>
        <family val="1"/>
      </rPr>
      <t>3 категории</t>
    </r>
    <r>
      <rPr>
        <sz val="11"/>
        <color indexed="8"/>
        <rFont val="Times New Roman"/>
        <family val="1"/>
      </rPr>
      <t>, за исключением катков с искуственным льдом</t>
    </r>
  </si>
  <si>
    <t>площадь дворовых территорий 2категории</t>
  </si>
  <si>
    <t>площадь дворовых территорий 3 категории</t>
  </si>
  <si>
    <t>кв.м</t>
  </si>
  <si>
    <r>
      <t xml:space="preserve">  Комплексное содержание </t>
    </r>
    <r>
      <rPr>
        <b/>
        <sz val="11"/>
        <rFont val="Times New Roman"/>
        <family val="1"/>
      </rPr>
      <t>проезжей части IV</t>
    </r>
    <r>
      <rPr>
        <sz val="11"/>
        <rFont val="Times New Roman"/>
        <family val="1"/>
      </rPr>
      <t xml:space="preserve"> категории объектов дорожного хозяйства  , за исключением погрузки, транспортировки и утилизации снегаза </t>
    </r>
  </si>
  <si>
    <t>Итого по ОДХ кв.м</t>
  </si>
  <si>
    <r>
      <t xml:space="preserve">  Комплексное содержание</t>
    </r>
    <r>
      <rPr>
        <b/>
        <sz val="11"/>
        <rFont val="Times New Roman"/>
        <family val="1"/>
      </rPr>
      <t xml:space="preserve"> проезжей</t>
    </r>
    <r>
      <rPr>
        <sz val="11"/>
        <rFont val="Times New Roman"/>
        <family val="1"/>
      </rPr>
      <t xml:space="preserve"> части внекатегорийных объектов дорожного хозяйства (ОДХ внутри садового кольца) , за исключеникм погрузки, транспортировки и утилизации снега</t>
    </r>
  </si>
  <si>
    <t xml:space="preserve">  Комплексное содержание тротуаров ( ручная уборка тротуаров) на внекатегорийных объектах дорожного хозяйства (ОДХ внутри садового кольца) , за исключеникм погрузки, транспортировки и утилизации снега</t>
  </si>
  <si>
    <t>Значение утвержденное в государственном задании год</t>
  </si>
  <si>
    <r>
      <rPr>
        <b/>
        <sz val="11"/>
        <color indexed="10"/>
        <rFont val="Times New Roman"/>
        <family val="1"/>
      </rPr>
      <t>Отклонение</t>
    </r>
    <r>
      <rPr>
        <b/>
        <sz val="11"/>
        <color indexed="8"/>
        <rFont val="Times New Roman"/>
        <family val="1"/>
      </rPr>
      <t xml:space="preserve"> по затратам на оказание (выполнение государственных услуг (работ) (тыс.руб.) </t>
    </r>
  </si>
  <si>
    <t>Директор ГБУ "Жилищник района Замоскворечье"</t>
  </si>
  <si>
    <t>К.Е.Захаров</t>
  </si>
  <si>
    <t>Благоустройство территорий, прилегающих к государственным образовательным учреждениям городв Москвы, которые подведомственны Департаменту города Москвы</t>
  </si>
  <si>
    <t>Содержание, текущий ремонт и обеспечение коммунальной услугой отопления нераспределенных помещений, находящихся в собственности города Москвы, а также жилых помещений в МКД</t>
  </si>
  <si>
    <t xml:space="preserve"> Благоустройство  дворовых территорий </t>
  </si>
  <si>
    <t>нет</t>
  </si>
  <si>
    <t>количество дворовых территорий в рамках текущего ремонта</t>
  </si>
  <si>
    <t>Затраты на оказание (выполнение государственных услуг (работ) тыс.руб. (фактические)</t>
  </si>
  <si>
    <t xml:space="preserve">  Утилизация снега с объектов дорожного хозяйства на СПУ типа СПК-2400</t>
  </si>
  <si>
    <t xml:space="preserve">  Комплексное содержание тротуаров (механизированная уборка тротуаров) на внекатегорийных объектах дорожного хозяйства (ОДХ внутри садового кольца) , за исключеникм погрузки, транспортировки и утилизации снега</t>
  </si>
  <si>
    <t>глонас</t>
  </si>
  <si>
    <t>площадь дворовых территорий 4 категории</t>
  </si>
  <si>
    <r>
      <t xml:space="preserve"> Содержание дворовых территорий </t>
    </r>
    <r>
      <rPr>
        <b/>
        <sz val="11"/>
        <color indexed="8"/>
        <rFont val="Times New Roman"/>
        <family val="1"/>
      </rPr>
      <t>4 категории</t>
    </r>
    <r>
      <rPr>
        <sz val="11"/>
        <color indexed="8"/>
        <rFont val="Times New Roman"/>
        <family val="1"/>
      </rPr>
      <t>, за исключением катков с искуственным льдом</t>
    </r>
  </si>
  <si>
    <t>год</t>
  </si>
  <si>
    <t xml:space="preserve">ГОД план </t>
  </si>
  <si>
    <t>всего</t>
  </si>
  <si>
    <t>объем вывез.снега факт</t>
  </si>
  <si>
    <t>я</t>
  </si>
  <si>
    <t>январь по КО</t>
  </si>
  <si>
    <t>в месяц1/12</t>
  </si>
  <si>
    <t>сумма факт по 67,73</t>
  </si>
  <si>
    <t xml:space="preserve">  Погрузка и транспортировка снега с объектов дорожного хозяйства IХ категории</t>
  </si>
  <si>
    <r>
      <t xml:space="preserve">  Комплексное содержание</t>
    </r>
    <r>
      <rPr>
        <b/>
        <sz val="11"/>
        <rFont val="Times New Roman"/>
        <family val="1"/>
      </rPr>
      <t xml:space="preserve"> проезжей</t>
    </r>
    <r>
      <rPr>
        <sz val="11"/>
        <rFont val="Times New Roman"/>
        <family val="1"/>
      </rPr>
      <t xml:space="preserve"> части</t>
    </r>
    <r>
      <rPr>
        <b/>
        <sz val="11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категории объектов дорожного хозяйства, за исключеникм погрузки, транспортировки и утилизации снега</t>
    </r>
  </si>
  <si>
    <t>ед</t>
  </si>
  <si>
    <t>Зам.директора по экономике и финансам</t>
  </si>
  <si>
    <t>Зам.директора по комплексному содержанию ОДХ</t>
  </si>
  <si>
    <t>СОГЛАСОВАНО:</t>
  </si>
  <si>
    <t>Первый заместитель префекта Центрального административного округа</t>
  </si>
  <si>
    <t>Зместитель префекта Центрального административного округа</t>
  </si>
  <si>
    <t>_________________ Л.И.Тиунова</t>
  </si>
  <si>
    <t>___________________ В.В.Травкин</t>
  </si>
  <si>
    <t>____________________ О.В.Соболев</t>
  </si>
  <si>
    <t>Содержание объектов озеленения 2 категории, за исключением катков с искуственным льдом</t>
  </si>
  <si>
    <t>площадь объектов озеленения 2 категории</t>
  </si>
  <si>
    <t>площадь очистки</t>
  </si>
  <si>
    <t>м2</t>
  </si>
  <si>
    <t>Удаление наростов льда на карнизах, крышах и водостоках нежилых зданий</t>
  </si>
  <si>
    <t>Техническоесодержание общедомового оборудования для инвалидов и других лиц с ограничениями жизнидеятельности</t>
  </si>
  <si>
    <t>количество общедомового оборудования</t>
  </si>
  <si>
    <r>
      <t xml:space="preserve"> Комплексное содержание тротуаров (ручная уборка тротуаров)</t>
    </r>
    <r>
      <rPr>
        <b/>
        <sz val="11"/>
        <rFont val="Times New Roman"/>
        <family val="1"/>
      </rPr>
      <t xml:space="preserve"> IV категории</t>
    </r>
    <r>
      <rPr>
        <sz val="11"/>
        <rFont val="Times New Roman"/>
        <family val="1"/>
      </rPr>
      <t xml:space="preserve"> объектов дорожного хозяйства за исключением погрузки , транспортировки и утилизации снега</t>
    </r>
  </si>
  <si>
    <t>объем снега план</t>
  </si>
  <si>
    <t>ГЗ № _____-р, утвержденное 2018</t>
  </si>
  <si>
    <t>Е.В.Шелгунов</t>
  </si>
  <si>
    <t>А.А.Титов</t>
  </si>
  <si>
    <t>Начальник отдела благоустройства</t>
  </si>
  <si>
    <t xml:space="preserve">Отчет о выполнении государственного  задания ГБУ "Жилищник района Замоскворечье" за март 2018 года </t>
  </si>
  <si>
    <t>оплатили</t>
  </si>
  <si>
    <t>Ф.Н.Хоббиходжин</t>
  </si>
  <si>
    <r>
      <t xml:space="preserve"> Комплексное содержание тротуаров (</t>
    </r>
    <r>
      <rPr>
        <b/>
        <sz val="11"/>
        <color indexed="10"/>
        <rFont val="Times New Roman"/>
        <family val="1"/>
      </rPr>
      <t>ручная</t>
    </r>
    <r>
      <rPr>
        <sz val="11"/>
        <rFont val="Times New Roman"/>
        <family val="1"/>
      </rPr>
      <t xml:space="preserve"> уборка тротуаров) IХ категории объектов дорожного хозяйства за исключением погрузки , транспортировки и утилизации снега</t>
    </r>
  </si>
  <si>
    <t>Фактический объем</t>
  </si>
  <si>
    <t xml:space="preserve">Не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</si>
</sst>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#,##0.0000"/>
    <numFmt numFmtId="166" formatCode="#,##0.0;[Red]#,##0.0"/>
    <numFmt numFmtId="167" formatCode="#,##0;[Red]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"/>
    <numFmt numFmtId="174" formatCode="0.000"/>
    <numFmt numFmtId="175" formatCode="[$-FC19]d\ mmmm\ yyyy\ &quot;г.&quot;"/>
    <numFmt numFmtId="176" formatCode="#,##0.00_ ;[Red]\-#,##0.00\ "/>
    <numFmt numFmtId="177" formatCode="#,##0.000"/>
    <numFmt numFmtId="178" formatCode="#,##0.00000"/>
    <numFmt numFmtId="179" formatCode="#,##0.000000"/>
    <numFmt numFmtId="180" formatCode="#,##0.00_ ;\-#,##0.00\ 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_-* #,##0.000_р_._-;\-* #,##0.000_р_._-;_-* &quot;-&quot;?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8" fillId="0" borderId="10" xfId="0" applyFont="1" applyBorder="1" applyAlignment="1">
      <alignment horizontal="left" wrapText="1"/>
    </xf>
    <xf numFmtId="0" fontId="3" fillId="0" borderId="10" xfId="53" applyFont="1" applyFill="1" applyBorder="1" applyAlignment="1">
      <alignment horizontal="left" wrapText="1"/>
      <protection/>
    </xf>
    <xf numFmtId="0" fontId="59" fillId="0" borderId="10" xfId="0" applyFont="1" applyBorder="1" applyAlignment="1">
      <alignment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6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65" fontId="58" fillId="0" borderId="10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64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3" fontId="61" fillId="34" borderId="10" xfId="7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164" fontId="61" fillId="34" borderId="10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 horizontal="left" wrapText="1"/>
    </xf>
    <xf numFmtId="0" fontId="58" fillId="0" borderId="10" xfId="0" applyFont="1" applyBorder="1" applyAlignment="1">
      <alignment wrapText="1"/>
    </xf>
    <xf numFmtId="164" fontId="58" fillId="33" borderId="1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 horizontal="right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/>
    </xf>
    <xf numFmtId="43" fontId="58" fillId="0" borderId="0" xfId="0" applyNumberFormat="1" applyFont="1" applyFill="1" applyAlignment="1">
      <alignment horizontal="center" vertical="center"/>
    </xf>
    <xf numFmtId="164" fontId="61" fillId="8" borderId="10" xfId="0" applyNumberFormat="1" applyFont="1" applyFill="1" applyBorder="1" applyAlignment="1">
      <alignment horizontal="center"/>
    </xf>
    <xf numFmtId="43" fontId="58" fillId="35" borderId="0" xfId="70" applyFont="1" applyFill="1" applyAlignment="1">
      <alignment horizontal="center" vertical="center"/>
    </xf>
    <xf numFmtId="43" fontId="58" fillId="35" borderId="10" xfId="70" applyFont="1" applyFill="1" applyBorder="1" applyAlignment="1">
      <alignment horizontal="center" vertical="center"/>
    </xf>
    <xf numFmtId="43" fontId="58" fillId="35" borderId="13" xfId="7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61" fillId="34" borderId="13" xfId="0" applyFont="1" applyFill="1" applyBorder="1" applyAlignment="1">
      <alignment wrapText="1"/>
    </xf>
    <xf numFmtId="0" fontId="61" fillId="34" borderId="14" xfId="0" applyFont="1" applyFill="1" applyBorder="1" applyAlignment="1">
      <alignment wrapText="1"/>
    </xf>
    <xf numFmtId="4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wrapText="1"/>
    </xf>
    <xf numFmtId="43" fontId="58" fillId="33" borderId="0" xfId="7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58" fillId="33" borderId="10" xfId="0" applyFont="1" applyFill="1" applyBorder="1" applyAlignment="1">
      <alignment horizontal="left" vertical="center"/>
    </xf>
    <xf numFmtId="0" fontId="3" fillId="33" borderId="10" xfId="53" applyFont="1" applyFill="1" applyBorder="1" applyAlignment="1">
      <alignment horizontal="left" wrapText="1"/>
      <protection/>
    </xf>
    <xf numFmtId="0" fontId="3" fillId="33" borderId="15" xfId="53" applyFont="1" applyFill="1" applyBorder="1" applyAlignment="1">
      <alignment horizontal="left" vertical="center" wrapText="1"/>
      <protection/>
    </xf>
    <xf numFmtId="2" fontId="60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/>
    </xf>
    <xf numFmtId="4" fontId="61" fillId="34" borderId="13" xfId="0" applyNumberFormat="1" applyFont="1" applyFill="1" applyBorder="1" applyAlignment="1">
      <alignment horizontal="center" vertical="center"/>
    </xf>
    <xf numFmtId="164" fontId="61" fillId="34" borderId="13" xfId="0" applyNumberFormat="1" applyFont="1" applyFill="1" applyBorder="1" applyAlignment="1">
      <alignment horizontal="center" vertical="center"/>
    </xf>
    <xf numFmtId="164" fontId="58" fillId="33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vertical="center"/>
    </xf>
    <xf numFmtId="164" fontId="58" fillId="0" borderId="10" xfId="0" applyNumberFormat="1" applyFont="1" applyFill="1" applyBorder="1" applyAlignment="1">
      <alignment vertical="center"/>
    </xf>
    <xf numFmtId="164" fontId="58" fillId="33" borderId="10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43" fontId="61" fillId="8" borderId="10" xfId="70" applyFont="1" applyFill="1" applyBorder="1" applyAlignment="1">
      <alignment vertical="center"/>
    </xf>
    <xf numFmtId="43" fontId="61" fillId="34" borderId="10" xfId="70" applyFont="1" applyFill="1" applyBorder="1" applyAlignment="1">
      <alignment vertical="center"/>
    </xf>
    <xf numFmtId="4" fontId="61" fillId="34" borderId="10" xfId="0" applyNumberFormat="1" applyFont="1" applyFill="1" applyBorder="1" applyAlignment="1">
      <alignment vertical="center"/>
    </xf>
    <xf numFmtId="164" fontId="61" fillId="8" borderId="10" xfId="0" applyNumberFormat="1" applyFont="1" applyFill="1" applyBorder="1" applyAlignment="1">
      <alignment vertical="center"/>
    </xf>
    <xf numFmtId="164" fontId="61" fillId="34" borderId="10" xfId="0" applyNumberFormat="1" applyFont="1" applyFill="1" applyBorder="1" applyAlignment="1">
      <alignment vertical="center"/>
    </xf>
    <xf numFmtId="164" fontId="61" fillId="0" borderId="10" xfId="0" applyNumberFormat="1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wrapText="1"/>
    </xf>
    <xf numFmtId="167" fontId="58" fillId="33" borderId="10" xfId="0" applyNumberFormat="1" applyFont="1" applyFill="1" applyBorder="1" applyAlignment="1">
      <alignment horizontal="center" vertical="center"/>
    </xf>
    <xf numFmtId="43" fontId="58" fillId="35" borderId="10" xfId="70" applyFont="1" applyFill="1" applyBorder="1" applyAlignment="1">
      <alignment horizontal="center"/>
    </xf>
    <xf numFmtId="43" fontId="61" fillId="33" borderId="10" xfId="70" applyFont="1" applyFill="1" applyBorder="1" applyAlignment="1">
      <alignment horizontal="center" vertical="center"/>
    </xf>
    <xf numFmtId="164" fontId="58" fillId="33" borderId="11" xfId="0" applyNumberFormat="1" applyFont="1" applyFill="1" applyBorder="1" applyAlignment="1">
      <alignment vertical="center" wrapText="1"/>
    </xf>
    <xf numFmtId="43" fontId="58" fillId="33" borderId="11" xfId="7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59" fillId="0" borderId="10" xfId="0" applyNumberFormat="1" applyFont="1" applyBorder="1" applyAlignment="1">
      <alignment vertical="center" wrapText="1"/>
    </xf>
    <xf numFmtId="0" fontId="58" fillId="0" borderId="0" xfId="0" applyFont="1" applyFill="1" applyAlignment="1">
      <alignment horizontal="left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4" fontId="58" fillId="33" borderId="0" xfId="0" applyNumberFormat="1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vertical="center"/>
    </xf>
    <xf numFmtId="4" fontId="58" fillId="0" borderId="16" xfId="0" applyNumberFormat="1" applyFont="1" applyFill="1" applyBorder="1" applyAlignment="1">
      <alignment vertical="center"/>
    </xf>
    <xf numFmtId="4" fontId="61" fillId="34" borderId="16" xfId="0" applyNumberFormat="1" applyFont="1" applyFill="1" applyBorder="1" applyAlignment="1">
      <alignment vertical="center"/>
    </xf>
    <xf numFmtId="4" fontId="58" fillId="0" borderId="17" xfId="0" applyNumberFormat="1" applyFont="1" applyFill="1" applyBorder="1" applyAlignment="1">
      <alignment vertical="center"/>
    </xf>
    <xf numFmtId="164" fontId="61" fillId="34" borderId="16" xfId="0" applyNumberFormat="1" applyFont="1" applyFill="1" applyBorder="1" applyAlignment="1">
      <alignment vertical="center"/>
    </xf>
    <xf numFmtId="164" fontId="61" fillId="8" borderId="16" xfId="0" applyNumberFormat="1" applyFont="1" applyFill="1" applyBorder="1" applyAlignment="1">
      <alignment/>
    </xf>
    <xf numFmtId="43" fontId="58" fillId="33" borderId="18" xfId="70" applyFont="1" applyFill="1" applyBorder="1" applyAlignment="1">
      <alignment horizontal="center" vertical="center"/>
    </xf>
    <xf numFmtId="164" fontId="58" fillId="33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left" vertical="center"/>
    </xf>
    <xf numFmtId="164" fontId="58" fillId="0" borderId="12" xfId="0" applyNumberFormat="1" applyFont="1" applyFill="1" applyBorder="1" applyAlignment="1">
      <alignment horizontal="center" vertical="center" wrapText="1"/>
    </xf>
    <xf numFmtId="164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164" fontId="58" fillId="0" borderId="11" xfId="0" applyNumberFormat="1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center" wrapText="1"/>
    </xf>
    <xf numFmtId="43" fontId="58" fillId="33" borderId="0" xfId="70" applyFont="1" applyFill="1" applyAlignment="1">
      <alignment horizontal="center" vertical="center"/>
    </xf>
    <xf numFmtId="43" fontId="58" fillId="33" borderId="10" xfId="70" applyFont="1" applyFill="1" applyBorder="1" applyAlignment="1">
      <alignment horizontal="center" vertical="center"/>
    </xf>
    <xf numFmtId="43" fontId="58" fillId="33" borderId="0" xfId="70" applyFont="1" applyFill="1" applyBorder="1" applyAlignment="1">
      <alignment horizontal="center"/>
    </xf>
    <xf numFmtId="43" fontId="61" fillId="33" borderId="13" xfId="70" applyFont="1" applyFill="1" applyBorder="1" applyAlignment="1">
      <alignment horizontal="center" vertical="center"/>
    </xf>
    <xf numFmtId="43" fontId="60" fillId="33" borderId="10" xfId="70" applyFont="1" applyFill="1" applyBorder="1" applyAlignment="1">
      <alignment horizontal="left" vertical="center"/>
    </xf>
    <xf numFmtId="43" fontId="58" fillId="33" borderId="10" xfId="0" applyNumberFormat="1" applyFont="1" applyFill="1" applyBorder="1" applyAlignment="1">
      <alignment horizontal="center" vertical="center"/>
    </xf>
    <xf numFmtId="43" fontId="58" fillId="33" borderId="0" xfId="0" applyNumberFormat="1" applyFont="1" applyFill="1" applyBorder="1" applyAlignment="1">
      <alignment horizontal="center" vertical="center"/>
    </xf>
    <xf numFmtId="43" fontId="58" fillId="33" borderId="13" xfId="70" applyFont="1" applyFill="1" applyBorder="1" applyAlignment="1">
      <alignment horizontal="center" vertical="center"/>
    </xf>
    <xf numFmtId="43" fontId="60" fillId="33" borderId="10" xfId="70" applyFont="1" applyFill="1" applyBorder="1" applyAlignment="1">
      <alignment horizontal="center" vertical="center"/>
    </xf>
    <xf numFmtId="43" fontId="60" fillId="33" borderId="0" xfId="70" applyFont="1" applyFill="1" applyBorder="1" applyAlignment="1">
      <alignment horizontal="left" vertical="center"/>
    </xf>
    <xf numFmtId="164" fontId="58" fillId="33" borderId="0" xfId="0" applyNumberFormat="1" applyFont="1" applyFill="1" applyAlignment="1">
      <alignment horizontal="center" vertical="center"/>
    </xf>
    <xf numFmtId="43" fontId="58" fillId="8" borderId="10" xfId="70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wrapText="1"/>
    </xf>
    <xf numFmtId="4" fontId="58" fillId="8" borderId="10" xfId="0" applyNumberFormat="1" applyFont="1" applyFill="1" applyBorder="1" applyAlignment="1">
      <alignment horizontal="center" vertical="center"/>
    </xf>
    <xf numFmtId="43" fontId="58" fillId="0" borderId="0" xfId="70" applyFont="1" applyFill="1" applyAlignment="1">
      <alignment horizontal="right" vertical="center"/>
    </xf>
    <xf numFmtId="4" fontId="58" fillId="33" borderId="10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4" fontId="58" fillId="34" borderId="10" xfId="0" applyNumberFormat="1" applyFont="1" applyFill="1" applyBorder="1" applyAlignment="1">
      <alignment horizontal="center" vertical="center"/>
    </xf>
    <xf numFmtId="164" fontId="58" fillId="33" borderId="10" xfId="0" applyNumberFormat="1" applyFont="1" applyFill="1" applyBorder="1" applyAlignment="1">
      <alignment horizontal="right" vertical="center"/>
    </xf>
    <xf numFmtId="43" fontId="58" fillId="33" borderId="10" xfId="70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>
      <alignment horizontal="center" wrapText="1"/>
    </xf>
    <xf numFmtId="43" fontId="60" fillId="33" borderId="0" xfId="70" applyFont="1" applyFill="1" applyBorder="1" applyAlignment="1">
      <alignment horizontal="center" vertical="center"/>
    </xf>
    <xf numFmtId="178" fontId="58" fillId="0" borderId="16" xfId="0" applyNumberFormat="1" applyFont="1" applyFill="1" applyBorder="1" applyAlignment="1">
      <alignment vertical="center"/>
    </xf>
    <xf numFmtId="43" fontId="58" fillId="34" borderId="10" xfId="7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vertical="center"/>
    </xf>
    <xf numFmtId="164" fontId="58" fillId="33" borderId="12" xfId="0" applyNumberFormat="1" applyFont="1" applyFill="1" applyBorder="1" applyAlignment="1">
      <alignment horizontal="center" vertical="center"/>
    </xf>
    <xf numFmtId="164" fontId="58" fillId="33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164" fontId="58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164" fontId="62" fillId="0" borderId="0" xfId="0" applyNumberFormat="1" applyFont="1" applyFill="1" applyAlignment="1">
      <alignment horizontal="right"/>
    </xf>
    <xf numFmtId="0" fontId="58" fillId="33" borderId="0" xfId="0" applyFont="1" applyFill="1" applyAlignment="1">
      <alignment horizontal="center"/>
    </xf>
    <xf numFmtId="3" fontId="5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9" fillId="0" borderId="0" xfId="0" applyFont="1" applyFill="1" applyAlignment="1">
      <alignment horizontal="left"/>
    </xf>
    <xf numFmtId="0" fontId="58" fillId="0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wrapText="1"/>
    </xf>
    <xf numFmtId="0" fontId="58" fillId="33" borderId="12" xfId="0" applyFont="1" applyFill="1" applyBorder="1" applyAlignment="1">
      <alignment horizontal="left" wrapText="1"/>
    </xf>
    <xf numFmtId="164" fontId="61" fillId="33" borderId="0" xfId="0" applyNumberFormat="1" applyFont="1" applyFill="1" applyBorder="1" applyAlignment="1">
      <alignment vertical="center"/>
    </xf>
    <xf numFmtId="164" fontId="61" fillId="33" borderId="0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left" wrapText="1"/>
    </xf>
    <xf numFmtId="0" fontId="64" fillId="33" borderId="10" xfId="0" applyFont="1" applyFill="1" applyBorder="1" applyAlignment="1">
      <alignment horizontal="left" wrapText="1"/>
    </xf>
    <xf numFmtId="167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/>
    </xf>
    <xf numFmtId="164" fontId="58" fillId="0" borderId="10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3" fontId="3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left"/>
    </xf>
    <xf numFmtId="164" fontId="64" fillId="33" borderId="10" xfId="0" applyNumberFormat="1" applyFont="1" applyFill="1" applyBorder="1" applyAlignment="1">
      <alignment vertical="center"/>
    </xf>
    <xf numFmtId="164" fontId="58" fillId="33" borderId="12" xfId="0" applyNumberFormat="1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167" fontId="58" fillId="33" borderId="10" xfId="0" applyNumberFormat="1" applyFont="1" applyFill="1" applyBorder="1" applyAlignment="1">
      <alignment horizontal="center"/>
    </xf>
    <xf numFmtId="0" fontId="58" fillId="33" borderId="14" xfId="0" applyFont="1" applyFill="1" applyBorder="1" applyAlignment="1">
      <alignment horizontal="left" wrapText="1"/>
    </xf>
    <xf numFmtId="164" fontId="59" fillId="0" borderId="10" xfId="0" applyNumberFormat="1" applyFont="1" applyFill="1" applyBorder="1" applyAlignment="1">
      <alignment wrapText="1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7" fillId="33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4" fontId="12" fillId="0" borderId="10" xfId="0" applyNumberFormat="1" applyFont="1" applyFill="1" applyBorder="1" applyAlignment="1">
      <alignment vertical="center"/>
    </xf>
    <xf numFmtId="164" fontId="62" fillId="33" borderId="0" xfId="0" applyNumberFormat="1" applyFont="1" applyFill="1" applyAlignment="1">
      <alignment horizontal="right"/>
    </xf>
    <xf numFmtId="2" fontId="58" fillId="33" borderId="11" xfId="70" applyNumberFormat="1" applyFont="1" applyFill="1" applyBorder="1" applyAlignment="1">
      <alignment horizontal="right" vertical="center"/>
    </xf>
    <xf numFmtId="43" fontId="58" fillId="33" borderId="19" xfId="70" applyFont="1" applyFill="1" applyBorder="1" applyAlignment="1">
      <alignment horizontal="center" vertical="center"/>
    </xf>
    <xf numFmtId="4" fontId="58" fillId="33" borderId="10" xfId="70" applyNumberFormat="1" applyFont="1" applyFill="1" applyBorder="1" applyAlignment="1">
      <alignment horizontal="center" vertical="center"/>
    </xf>
    <xf numFmtId="4" fontId="58" fillId="33" borderId="19" xfId="7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164" fontId="58" fillId="0" borderId="12" xfId="0" applyNumberFormat="1" applyFont="1" applyFill="1" applyBorder="1" applyAlignment="1">
      <alignment horizontal="center" vertical="center" wrapText="1"/>
    </xf>
    <xf numFmtId="164" fontId="58" fillId="0" borderId="1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wrapText="1"/>
    </xf>
    <xf numFmtId="0" fontId="61" fillId="34" borderId="14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164" fontId="58" fillId="0" borderId="12" xfId="0" applyNumberFormat="1" applyFont="1" applyFill="1" applyBorder="1" applyAlignment="1">
      <alignment horizontal="left" vertical="center" wrapText="1"/>
    </xf>
    <xf numFmtId="164" fontId="58" fillId="0" borderId="11" xfId="0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top" wrapText="1"/>
    </xf>
    <xf numFmtId="164" fontId="58" fillId="33" borderId="12" xfId="0" applyNumberFormat="1" applyFont="1" applyFill="1" applyBorder="1" applyAlignment="1">
      <alignment horizontal="right" vertical="center" wrapText="1"/>
    </xf>
    <xf numFmtId="164" fontId="58" fillId="33" borderId="11" xfId="0" applyNumberFormat="1" applyFont="1" applyFill="1" applyBorder="1" applyAlignment="1">
      <alignment horizontal="right" vertical="center" wrapText="1"/>
    </xf>
    <xf numFmtId="164" fontId="58" fillId="33" borderId="12" xfId="0" applyNumberFormat="1" applyFont="1" applyFill="1" applyBorder="1" applyAlignment="1">
      <alignment horizontal="right" vertical="center"/>
    </xf>
    <xf numFmtId="164" fontId="58" fillId="33" borderId="11" xfId="0" applyNumberFormat="1" applyFont="1" applyFill="1" applyBorder="1" applyAlignment="1">
      <alignment horizontal="right" vertical="center"/>
    </xf>
    <xf numFmtId="2" fontId="58" fillId="0" borderId="12" xfId="0" applyNumberFormat="1" applyFont="1" applyFill="1" applyBorder="1" applyAlignment="1">
      <alignment horizontal="right" vertical="center"/>
    </xf>
    <xf numFmtId="2" fontId="58" fillId="0" borderId="11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left" wrapText="1"/>
    </xf>
    <xf numFmtId="0" fontId="62" fillId="0" borderId="19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left" wrapText="1"/>
    </xf>
    <xf numFmtId="2" fontId="58" fillId="0" borderId="12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164" fontId="59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2 3" xfId="57"/>
    <cellStyle name="Обычный 2 3" xfId="58"/>
    <cellStyle name="Обычный 2 3 2" xfId="59"/>
    <cellStyle name="Обычный 2 4" xfId="60"/>
    <cellStyle name="Обычный 2 5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70"/>
  <sheetViews>
    <sheetView tabSelected="1" zoomScale="90" zoomScaleNormal="90" zoomScalePageLayoutView="0" workbookViewId="0" topLeftCell="A35">
      <selection activeCell="F46" sqref="F46"/>
    </sheetView>
  </sheetViews>
  <sheetFormatPr defaultColWidth="9.140625" defaultRowHeight="15"/>
  <cols>
    <col min="1" max="1" width="53.8515625" style="11" customWidth="1"/>
    <col min="2" max="2" width="32.421875" style="11" customWidth="1"/>
    <col min="3" max="3" width="11.8515625" style="11" customWidth="1"/>
    <col min="4" max="4" width="16.421875" style="31" customWidth="1"/>
    <col min="5" max="5" width="15.7109375" style="11" customWidth="1"/>
    <col min="6" max="6" width="19.8515625" style="11" customWidth="1"/>
    <col min="7" max="7" width="14.8515625" style="11" customWidth="1"/>
    <col min="8" max="8" width="17.421875" style="11" customWidth="1"/>
    <col min="9" max="9" width="18.57421875" style="11" customWidth="1"/>
    <col min="10" max="10" width="15.57421875" style="21" customWidth="1"/>
    <col min="11" max="11" width="12.57421875" style="21" customWidth="1"/>
    <col min="12" max="13" width="16.28125" style="21" customWidth="1"/>
    <col min="14" max="15" width="16.7109375" style="97" customWidth="1"/>
    <col min="16" max="16" width="20.421875" style="97" customWidth="1"/>
    <col min="17" max="18" width="18.57421875" style="31" customWidth="1"/>
    <col min="19" max="19" width="24.57421875" style="11" customWidth="1"/>
    <col min="20" max="20" width="13.7109375" style="11" customWidth="1"/>
    <col min="21" max="16384" width="9.140625" style="11" customWidth="1"/>
  </cols>
  <sheetData>
    <row r="1" ht="15"/>
    <row r="2" spans="1:10" ht="20.25">
      <c r="A2" s="164" t="s">
        <v>107</v>
      </c>
      <c r="B2" s="164"/>
      <c r="C2" s="164" t="s">
        <v>107</v>
      </c>
      <c r="D2" s="165"/>
      <c r="E2" s="166"/>
      <c r="F2" s="166"/>
      <c r="G2" s="166"/>
      <c r="H2" s="164" t="s">
        <v>107</v>
      </c>
      <c r="I2" s="166"/>
      <c r="J2" s="166"/>
    </row>
    <row r="3" spans="1:10" ht="45.75" customHeight="1">
      <c r="A3" s="140" t="s">
        <v>108</v>
      </c>
      <c r="C3" s="173" t="s">
        <v>109</v>
      </c>
      <c r="D3" s="173"/>
      <c r="E3" s="173"/>
      <c r="F3" s="140"/>
      <c r="H3" s="173" t="s">
        <v>109</v>
      </c>
      <c r="I3" s="173"/>
      <c r="J3" s="173"/>
    </row>
    <row r="4" spans="1:10" ht="30" customHeight="1">
      <c r="A4" s="161" t="s">
        <v>111</v>
      </c>
      <c r="B4" s="162"/>
      <c r="C4" s="161" t="s">
        <v>112</v>
      </c>
      <c r="D4" s="163"/>
      <c r="E4" s="162"/>
      <c r="F4" s="162"/>
      <c r="G4" s="162"/>
      <c r="H4" s="161" t="s">
        <v>110</v>
      </c>
      <c r="I4" s="163"/>
      <c r="J4" s="11"/>
    </row>
    <row r="5" ht="15"/>
    <row r="6" ht="15"/>
    <row r="7" spans="1:13" ht="39.75" customHeight="1">
      <c r="A7" s="177" t="s">
        <v>126</v>
      </c>
      <c r="B7" s="177"/>
      <c r="C7" s="177"/>
      <c r="D7" s="177"/>
      <c r="E7" s="177"/>
      <c r="F7" s="177"/>
      <c r="G7" s="177"/>
      <c r="H7" s="177"/>
      <c r="I7" s="177"/>
      <c r="J7" s="177"/>
      <c r="K7" s="96"/>
      <c r="L7" s="96"/>
      <c r="M7" s="96"/>
    </row>
    <row r="8" ht="19.5" customHeight="1"/>
    <row r="9" spans="1:13" ht="113.25" customHeight="1">
      <c r="A9" s="12" t="s">
        <v>12</v>
      </c>
      <c r="B9" s="12" t="s">
        <v>11</v>
      </c>
      <c r="C9" s="12" t="s">
        <v>10</v>
      </c>
      <c r="D9" s="30" t="s">
        <v>79</v>
      </c>
      <c r="E9" s="12" t="s">
        <v>9</v>
      </c>
      <c r="F9" s="12" t="s">
        <v>8</v>
      </c>
      <c r="G9" s="12" t="s">
        <v>42</v>
      </c>
      <c r="H9" s="12" t="s">
        <v>7</v>
      </c>
      <c r="I9" s="12" t="s">
        <v>88</v>
      </c>
      <c r="J9" s="19" t="s">
        <v>80</v>
      </c>
      <c r="K9" s="50"/>
      <c r="L9" s="50"/>
      <c r="M9" s="50"/>
    </row>
    <row r="10" spans="1:13" ht="19.5" customHeight="1">
      <c r="A10" s="178" t="s">
        <v>43</v>
      </c>
      <c r="B10" s="179"/>
      <c r="C10" s="179"/>
      <c r="D10" s="179"/>
      <c r="E10" s="179"/>
      <c r="F10" s="179"/>
      <c r="G10" s="180"/>
      <c r="H10" s="12"/>
      <c r="I10" s="12"/>
      <c r="J10" s="19"/>
      <c r="K10" s="50"/>
      <c r="L10" s="50"/>
      <c r="M10" s="50"/>
    </row>
    <row r="11" spans="1:19" ht="19.5" customHeight="1">
      <c r="A11" s="178" t="s">
        <v>44</v>
      </c>
      <c r="B11" s="179"/>
      <c r="C11" s="179"/>
      <c r="D11" s="179"/>
      <c r="E11" s="179"/>
      <c r="F11" s="179"/>
      <c r="G11" s="180"/>
      <c r="H11" s="12"/>
      <c r="I11" s="12"/>
      <c r="J11" s="19"/>
      <c r="K11" s="50"/>
      <c r="L11" s="50"/>
      <c r="M11" s="50"/>
      <c r="Q11" s="31" t="s">
        <v>95</v>
      </c>
      <c r="R11" s="18" t="s">
        <v>96</v>
      </c>
      <c r="S11" s="11" t="s">
        <v>100</v>
      </c>
    </row>
    <row r="12" spans="1:18" ht="57" customHeight="1" hidden="1">
      <c r="A12" s="43" t="s">
        <v>83</v>
      </c>
      <c r="B12" s="14" t="s">
        <v>45</v>
      </c>
      <c r="C12" s="6" t="s">
        <v>1</v>
      </c>
      <c r="D12" s="18"/>
      <c r="E12" s="93"/>
      <c r="F12" s="94"/>
      <c r="G12" s="95"/>
      <c r="H12" s="72"/>
      <c r="I12" s="72">
        <f>H12</f>
        <v>0</v>
      </c>
      <c r="J12" s="57">
        <f>I12-H12</f>
        <v>0</v>
      </c>
      <c r="K12" s="78"/>
      <c r="L12" s="51"/>
      <c r="M12" s="51"/>
      <c r="R12" s="18"/>
    </row>
    <row r="13" spans="1:20" ht="52.5" customHeight="1">
      <c r="A13" s="10" t="s">
        <v>70</v>
      </c>
      <c r="B13" s="14" t="s">
        <v>30</v>
      </c>
      <c r="C13" s="6" t="s">
        <v>1</v>
      </c>
      <c r="D13" s="113">
        <v>26975.3</v>
      </c>
      <c r="E13" s="42">
        <f>D13-75.6-94-38.3</f>
        <v>26767.4</v>
      </c>
      <c r="F13" s="39" t="s">
        <v>51</v>
      </c>
      <c r="G13" s="181" t="s">
        <v>122</v>
      </c>
      <c r="H13" s="73">
        <v>653.41</v>
      </c>
      <c r="I13" s="73">
        <f>H13-7.09-8.8-3.59</f>
        <v>633.93</v>
      </c>
      <c r="J13" s="57">
        <f>I13-H13</f>
        <v>-19.480000000000018</v>
      </c>
      <c r="K13" s="78">
        <f>J13+J14+J17+J19+J20+J16+J23+J24</f>
        <v>-428.53000000000014</v>
      </c>
      <c r="L13" s="90" t="s">
        <v>91</v>
      </c>
      <c r="M13" s="51"/>
      <c r="N13" s="97">
        <f>J13+J14+J17+J19+J20+J16</f>
        <v>-407.09000000000015</v>
      </c>
      <c r="P13" s="97">
        <f>S35/47690.86*Q13</f>
        <v>0</v>
      </c>
      <c r="Q13" s="37">
        <v>2613.64</v>
      </c>
      <c r="R13" s="98">
        <f>Q13+Q14+Q15+Q16+Q17+Q18+Q19+Q20+Q21+Q22+Q23+Q24</f>
        <v>52053.170000000006</v>
      </c>
      <c r="S13" s="153">
        <f>Q13/12*3</f>
        <v>653.41</v>
      </c>
      <c r="T13" s="33"/>
    </row>
    <row r="14" spans="1:19" ht="60.75" customHeight="1">
      <c r="A14" s="10" t="s">
        <v>69</v>
      </c>
      <c r="B14" s="14" t="s">
        <v>31</v>
      </c>
      <c r="C14" s="6" t="s">
        <v>1</v>
      </c>
      <c r="D14" s="113">
        <v>11019.9</v>
      </c>
      <c r="E14" s="42">
        <f>D14-53.2-272.5-17.9</f>
        <v>10676.3</v>
      </c>
      <c r="F14" s="3" t="s">
        <v>51</v>
      </c>
      <c r="G14" s="182"/>
      <c r="H14" s="73">
        <v>245.39</v>
      </c>
      <c r="I14" s="73">
        <f>H14-3.7-18.9-1.25</f>
        <v>221.54</v>
      </c>
      <c r="J14" s="57">
        <f aca="true" t="shared" si="0" ref="J14:J34">I14-H14</f>
        <v>-23.849999999999994</v>
      </c>
      <c r="K14" s="78"/>
      <c r="L14" s="51"/>
      <c r="M14" s="51"/>
      <c r="P14" s="97">
        <f>S35/47690.86*Q14</f>
        <v>0</v>
      </c>
      <c r="Q14" s="36">
        <v>981.54</v>
      </c>
      <c r="R14" s="44"/>
      <c r="S14" s="153">
        <f aca="true" t="shared" si="1" ref="S14:S24">Q14/12*3</f>
        <v>245.385</v>
      </c>
    </row>
    <row r="15" spans="1:19" ht="67.5" customHeight="1">
      <c r="A15" s="10" t="s">
        <v>68</v>
      </c>
      <c r="B15" s="14" t="s">
        <v>32</v>
      </c>
      <c r="C15" s="6" t="s">
        <v>1</v>
      </c>
      <c r="D15" s="113">
        <v>4597.8</v>
      </c>
      <c r="E15" s="42">
        <f aca="true" t="shared" si="2" ref="E15:E22">D15</f>
        <v>4597.8</v>
      </c>
      <c r="F15" s="75"/>
      <c r="G15" s="182"/>
      <c r="H15" s="73">
        <v>276.69</v>
      </c>
      <c r="I15" s="73">
        <f aca="true" t="shared" si="3" ref="I15:I21">H15</f>
        <v>276.69</v>
      </c>
      <c r="J15" s="57">
        <f t="shared" si="0"/>
        <v>0</v>
      </c>
      <c r="K15" s="78"/>
      <c r="L15" s="51"/>
      <c r="M15" s="51"/>
      <c r="P15" s="97">
        <f>S35/47690.86*Q15</f>
        <v>0</v>
      </c>
      <c r="Q15" s="36">
        <v>1106.78</v>
      </c>
      <c r="R15" s="44"/>
      <c r="S15" s="153">
        <f t="shared" si="1"/>
        <v>276.695</v>
      </c>
    </row>
    <row r="16" spans="1:19" ht="51.75" customHeight="1">
      <c r="A16" s="10" t="s">
        <v>75</v>
      </c>
      <c r="B16" s="4" t="s">
        <v>41</v>
      </c>
      <c r="C16" s="6" t="s">
        <v>1</v>
      </c>
      <c r="D16" s="113">
        <v>50589.8</v>
      </c>
      <c r="E16" s="13">
        <f>D16-312.1-331.3-108.8</f>
        <v>49837.6</v>
      </c>
      <c r="F16" s="3" t="s">
        <v>51</v>
      </c>
      <c r="G16" s="182"/>
      <c r="H16" s="116">
        <v>1281.95</v>
      </c>
      <c r="I16" s="73">
        <f>H16-30.59-32.5-10.67</f>
        <v>1208.19</v>
      </c>
      <c r="J16" s="57">
        <f>I16-H16</f>
        <v>-73.75999999999999</v>
      </c>
      <c r="K16" s="85"/>
      <c r="L16" s="51"/>
      <c r="M16" s="51"/>
      <c r="N16" s="99"/>
      <c r="O16" s="99"/>
      <c r="P16" s="97">
        <f>S35/47690.86*Q16</f>
        <v>0</v>
      </c>
      <c r="Q16" s="70">
        <v>5127.78</v>
      </c>
      <c r="R16" s="99"/>
      <c r="S16" s="153">
        <f t="shared" si="1"/>
        <v>1281.945</v>
      </c>
    </row>
    <row r="17" spans="1:19" ht="64.5" customHeight="1">
      <c r="A17" s="10" t="s">
        <v>67</v>
      </c>
      <c r="B17" s="14" t="s">
        <v>33</v>
      </c>
      <c r="C17" s="6" t="s">
        <v>1</v>
      </c>
      <c r="D17" s="113">
        <v>15096.5</v>
      </c>
      <c r="E17" s="42">
        <f>D17-73-424.6-65.9</f>
        <v>14533</v>
      </c>
      <c r="F17" s="3" t="s">
        <v>51</v>
      </c>
      <c r="G17" s="182"/>
      <c r="H17" s="73">
        <v>368.39</v>
      </c>
      <c r="I17" s="73">
        <f>H17-5.11-29.7-4.61</f>
        <v>328.96999999999997</v>
      </c>
      <c r="J17" s="57">
        <f t="shared" si="0"/>
        <v>-39.420000000000016</v>
      </c>
      <c r="K17" s="78"/>
      <c r="L17" s="51"/>
      <c r="M17" s="51"/>
      <c r="P17" s="97">
        <f>S35/47690.86*Q17</f>
        <v>0</v>
      </c>
      <c r="Q17" s="36">
        <v>1473.57</v>
      </c>
      <c r="R17" s="44"/>
      <c r="S17" s="153">
        <f t="shared" si="1"/>
        <v>368.3925</v>
      </c>
    </row>
    <row r="18" spans="1:19" ht="64.5" customHeight="1">
      <c r="A18" s="10" t="s">
        <v>120</v>
      </c>
      <c r="B18" s="14" t="s">
        <v>34</v>
      </c>
      <c r="C18" s="6" t="s">
        <v>1</v>
      </c>
      <c r="D18" s="113">
        <v>11305.4</v>
      </c>
      <c r="E18" s="42">
        <f t="shared" si="2"/>
        <v>11305.4</v>
      </c>
      <c r="F18" s="3"/>
      <c r="G18" s="182"/>
      <c r="H18" s="73">
        <v>1572.81</v>
      </c>
      <c r="I18" s="73">
        <f t="shared" si="3"/>
        <v>1572.81</v>
      </c>
      <c r="J18" s="57">
        <f t="shared" si="0"/>
        <v>0</v>
      </c>
      <c r="K18" s="78"/>
      <c r="L18" s="51"/>
      <c r="M18" s="51"/>
      <c r="P18" s="97">
        <f>S35/47690.86*Q18</f>
        <v>0</v>
      </c>
      <c r="Q18" s="36">
        <v>6291.23</v>
      </c>
      <c r="R18" s="44"/>
      <c r="S18" s="153">
        <f t="shared" si="1"/>
        <v>1572.8075</v>
      </c>
    </row>
    <row r="19" spans="1:19" ht="70.5" customHeight="1">
      <c r="A19" s="10" t="s">
        <v>77</v>
      </c>
      <c r="B19" s="10" t="s">
        <v>47</v>
      </c>
      <c r="C19" s="6" t="s">
        <v>1</v>
      </c>
      <c r="D19" s="98">
        <v>45852</v>
      </c>
      <c r="E19" s="13">
        <f>D19-325.4-370.1-251.9</f>
        <v>44904.6</v>
      </c>
      <c r="F19" s="3" t="s">
        <v>51</v>
      </c>
      <c r="G19" s="182"/>
      <c r="H19" s="117">
        <v>2178.32</v>
      </c>
      <c r="I19" s="73">
        <f>H19-59.8-68-46.3</f>
        <v>2004.22</v>
      </c>
      <c r="J19" s="57">
        <f t="shared" si="0"/>
        <v>-174.10000000000014</v>
      </c>
      <c r="K19" s="78"/>
      <c r="L19" s="51"/>
      <c r="M19" s="51"/>
      <c r="P19" s="97">
        <f>S35/47690.86*Q19</f>
        <v>0</v>
      </c>
      <c r="Q19" s="36">
        <v>8713.26</v>
      </c>
      <c r="R19" s="44"/>
      <c r="S19" s="153">
        <f t="shared" si="1"/>
        <v>2178.315</v>
      </c>
    </row>
    <row r="20" spans="1:19" ht="78.75" customHeight="1">
      <c r="A20" s="10" t="s">
        <v>90</v>
      </c>
      <c r="B20" s="10" t="s">
        <v>46</v>
      </c>
      <c r="C20" s="6" t="s">
        <v>1</v>
      </c>
      <c r="D20" s="98">
        <v>7456</v>
      </c>
      <c r="E20" s="13">
        <f>D20-65.2-199.2-35.5</f>
        <v>7156.1</v>
      </c>
      <c r="F20" s="3" t="s">
        <v>51</v>
      </c>
      <c r="G20" s="182"/>
      <c r="H20" s="117">
        <v>475.395</v>
      </c>
      <c r="I20" s="73">
        <f>H20-16.63-50.8-9.05</f>
        <v>398.91499999999996</v>
      </c>
      <c r="J20" s="57">
        <f>I20-H20</f>
        <v>-76.48000000000002</v>
      </c>
      <c r="K20" s="78"/>
      <c r="L20" s="110" t="s">
        <v>97</v>
      </c>
      <c r="M20" s="110" t="s">
        <v>101</v>
      </c>
      <c r="N20" s="110" t="s">
        <v>121</v>
      </c>
      <c r="O20" s="118"/>
      <c r="P20" s="97">
        <f>S35/47690.86*Q20</f>
        <v>0</v>
      </c>
      <c r="Q20" s="36">
        <v>1901.58</v>
      </c>
      <c r="R20" s="44"/>
      <c r="S20" s="153">
        <f t="shared" si="1"/>
        <v>475.395</v>
      </c>
    </row>
    <row r="21" spans="1:19" ht="72.75" customHeight="1">
      <c r="A21" s="10" t="s">
        <v>78</v>
      </c>
      <c r="B21" s="10" t="s">
        <v>39</v>
      </c>
      <c r="C21" s="6" t="s">
        <v>1</v>
      </c>
      <c r="D21" s="98">
        <v>13409</v>
      </c>
      <c r="E21" s="13">
        <f t="shared" si="2"/>
        <v>13409</v>
      </c>
      <c r="F21" s="3"/>
      <c r="G21" s="182"/>
      <c r="H21" s="117">
        <v>2095.79</v>
      </c>
      <c r="I21" s="73">
        <f t="shared" si="3"/>
        <v>2095.79</v>
      </c>
      <c r="J21" s="57">
        <f t="shared" si="0"/>
        <v>0</v>
      </c>
      <c r="K21" s="85"/>
      <c r="L21" s="105">
        <f>(E29+20223)*3.5</f>
        <v>444992.44999999995</v>
      </c>
      <c r="M21" s="109">
        <f>H25+H26+H27+H28+H32</f>
        <v>9725.220000000001</v>
      </c>
      <c r="N21" s="105">
        <f>D25+D26+D27+D28+D32</f>
        <v>237318.07</v>
      </c>
      <c r="O21" s="119">
        <f>D25+D26+D27+D28+D29+D32</f>
        <v>256999.2</v>
      </c>
      <c r="P21" s="97">
        <f>S35/47690.86*Q21</f>
        <v>0</v>
      </c>
      <c r="Q21" s="36">
        <v>8383.17</v>
      </c>
      <c r="R21" s="44"/>
      <c r="S21" s="153">
        <f t="shared" si="1"/>
        <v>2095.7925</v>
      </c>
    </row>
    <row r="22" spans="1:19" ht="48" customHeight="1">
      <c r="A22" s="10" t="s">
        <v>60</v>
      </c>
      <c r="B22" s="14" t="s">
        <v>50</v>
      </c>
      <c r="C22" s="6" t="s">
        <v>1</v>
      </c>
      <c r="D22" s="98">
        <v>25011.5</v>
      </c>
      <c r="E22" s="89">
        <f t="shared" si="2"/>
        <v>25011.5</v>
      </c>
      <c r="F22" s="13"/>
      <c r="G22" s="182"/>
      <c r="H22" s="59">
        <v>3767.88</v>
      </c>
      <c r="I22" s="73">
        <f>H22</f>
        <v>3767.88</v>
      </c>
      <c r="J22" s="57">
        <f>I22-H22</f>
        <v>0</v>
      </c>
      <c r="K22" s="83"/>
      <c r="L22" s="77"/>
      <c r="M22" s="77"/>
      <c r="N22" s="97">
        <v>5486092.48</v>
      </c>
      <c r="O22" s="97" t="s">
        <v>127</v>
      </c>
      <c r="Q22" s="36">
        <v>15071.53</v>
      </c>
      <c r="R22" s="44"/>
      <c r="S22" s="153">
        <f t="shared" si="1"/>
        <v>3767.8824999999997</v>
      </c>
    </row>
    <row r="23" spans="1:19" ht="48" customHeight="1">
      <c r="A23" s="10" t="s">
        <v>103</v>
      </c>
      <c r="B23" s="14" t="s">
        <v>50</v>
      </c>
      <c r="C23" s="6" t="s">
        <v>1</v>
      </c>
      <c r="D23" s="98">
        <v>659</v>
      </c>
      <c r="E23" s="89">
        <f>D23-25.5-40.8-25.5</f>
        <v>567.2</v>
      </c>
      <c r="F23" s="3" t="s">
        <v>51</v>
      </c>
      <c r="G23" s="182"/>
      <c r="H23" s="59">
        <v>27.88</v>
      </c>
      <c r="I23" s="73">
        <f>H23-4.17-6.7-4.17</f>
        <v>12.840000000000002</v>
      </c>
      <c r="J23" s="57">
        <f>I23-H23</f>
        <v>-15.039999999999997</v>
      </c>
      <c r="K23" s="83"/>
      <c r="L23" s="77"/>
      <c r="M23" s="77"/>
      <c r="Q23" s="36">
        <v>111.51</v>
      </c>
      <c r="R23" s="44"/>
      <c r="S23" s="153">
        <f t="shared" si="1"/>
        <v>27.8775</v>
      </c>
    </row>
    <row r="24" spans="1:22" ht="48" customHeight="1">
      <c r="A24" s="10" t="s">
        <v>129</v>
      </c>
      <c r="B24" s="14" t="s">
        <v>50</v>
      </c>
      <c r="C24" s="18" t="s">
        <v>74</v>
      </c>
      <c r="D24" s="98">
        <v>258</v>
      </c>
      <c r="E24" s="89">
        <f>D24-7-11.2-4.9</f>
        <v>234.9</v>
      </c>
      <c r="F24" s="210" t="s">
        <v>51</v>
      </c>
      <c r="G24" s="182"/>
      <c r="H24" s="59">
        <v>69.4</v>
      </c>
      <c r="I24" s="73">
        <f>H24-1.94-3.1-1.36</f>
        <v>63.000000000000014</v>
      </c>
      <c r="J24" s="57">
        <f>I24-H24</f>
        <v>-6.3999999999999915</v>
      </c>
      <c r="K24" s="122">
        <f>J24-I24</f>
        <v>-69.4</v>
      </c>
      <c r="L24" s="83"/>
      <c r="M24" s="105">
        <f>SUM(M21:M23)</f>
        <v>9725.220000000001</v>
      </c>
      <c r="N24" s="97">
        <v>0</v>
      </c>
      <c r="O24" s="97">
        <f>SUM(O12:O23)</f>
        <v>256999.2</v>
      </c>
      <c r="Q24" s="36">
        <v>277.58</v>
      </c>
      <c r="R24" s="98"/>
      <c r="S24" s="153">
        <f t="shared" si="1"/>
        <v>69.395</v>
      </c>
      <c r="V24" s="124"/>
    </row>
    <row r="25" spans="1:20" ht="46.5" customHeight="1">
      <c r="A25" s="4" t="s">
        <v>66</v>
      </c>
      <c r="B25" s="4" t="s">
        <v>40</v>
      </c>
      <c r="C25" s="18" t="s">
        <v>38</v>
      </c>
      <c r="D25" s="113">
        <v>74802.91</v>
      </c>
      <c r="E25" s="89">
        <v>142397.93</v>
      </c>
      <c r="F25" s="211" t="s">
        <v>130</v>
      </c>
      <c r="G25" s="182"/>
      <c r="H25" s="59">
        <v>3143.52</v>
      </c>
      <c r="I25" s="73">
        <f>H25</f>
        <v>3143.52</v>
      </c>
      <c r="J25" s="57">
        <f t="shared" si="0"/>
        <v>0</v>
      </c>
      <c r="K25" s="83"/>
      <c r="L25" s="77">
        <f>L21/N21*D25</f>
        <v>140262.09714257956</v>
      </c>
      <c r="M25" s="111">
        <f>M21/L21*E25</f>
        <v>3112.077961760026</v>
      </c>
      <c r="O25" s="98">
        <f>L25*N25/1000</f>
        <v>0</v>
      </c>
      <c r="Q25" s="108">
        <v>5239.2</v>
      </c>
      <c r="R25" s="121">
        <f>Q25+Q26+Q27+Q28+Q32</f>
        <v>16208.69</v>
      </c>
      <c r="S25" s="153">
        <f>Q25/5*3</f>
        <v>3143.5199999999995</v>
      </c>
      <c r="T25" s="121">
        <f>S25+S26+S27+S28+S32</f>
        <v>9725.214</v>
      </c>
    </row>
    <row r="26" spans="1:19" ht="36.75" customHeight="1">
      <c r="A26" s="46" t="s">
        <v>64</v>
      </c>
      <c r="B26" s="47" t="s">
        <v>37</v>
      </c>
      <c r="C26" s="18" t="s">
        <v>38</v>
      </c>
      <c r="D26" s="113">
        <v>46939.3</v>
      </c>
      <c r="E26" s="89">
        <v>88998.7</v>
      </c>
      <c r="F26" s="211" t="s">
        <v>130</v>
      </c>
      <c r="G26" s="182"/>
      <c r="H26" s="59">
        <v>1724.74</v>
      </c>
      <c r="I26" s="73">
        <v>1724.74</v>
      </c>
      <c r="J26" s="57">
        <f t="shared" si="0"/>
        <v>0</v>
      </c>
      <c r="K26" s="83"/>
      <c r="L26" s="77">
        <f>L21/N21*D26</f>
        <v>88015.35470217248</v>
      </c>
      <c r="M26" s="111">
        <f>M21/L21*E26</f>
        <v>1945.04858950753</v>
      </c>
      <c r="O26" s="98">
        <f>L26*N26/1000</f>
        <v>0</v>
      </c>
      <c r="Q26" s="108">
        <v>2874.56</v>
      </c>
      <c r="R26" s="98"/>
      <c r="S26" s="153">
        <f aca="true" t="shared" si="4" ref="S26:S32">Q26/5*3</f>
        <v>1724.736</v>
      </c>
    </row>
    <row r="27" spans="1:19" ht="33" customHeight="1">
      <c r="A27" s="46" t="s">
        <v>63</v>
      </c>
      <c r="B27" s="47" t="s">
        <v>37</v>
      </c>
      <c r="C27" s="18" t="s">
        <v>38</v>
      </c>
      <c r="D27" s="113">
        <v>85352.98</v>
      </c>
      <c r="E27" s="89">
        <v>160197.7</v>
      </c>
      <c r="F27" s="211" t="s">
        <v>130</v>
      </c>
      <c r="G27" s="182"/>
      <c r="H27" s="59">
        <v>3586.87</v>
      </c>
      <c r="I27" s="73">
        <f>H27</f>
        <v>3586.87</v>
      </c>
      <c r="J27" s="57">
        <f t="shared" si="0"/>
        <v>0</v>
      </c>
      <c r="K27" s="83"/>
      <c r="L27" s="77">
        <f>L21/N21*D27</f>
        <v>160044.41501231235</v>
      </c>
      <c r="M27" s="111">
        <f>M21/L21*E27</f>
        <v>3501.088335305465</v>
      </c>
      <c r="O27" s="98">
        <f>L27*N27/1000</f>
        <v>0</v>
      </c>
      <c r="Q27" s="108">
        <v>5978.12</v>
      </c>
      <c r="R27" s="44"/>
      <c r="S27" s="153">
        <f t="shared" si="4"/>
        <v>3586.8720000000003</v>
      </c>
    </row>
    <row r="28" spans="1:19" ht="33" customHeight="1">
      <c r="A28" s="46" t="s">
        <v>102</v>
      </c>
      <c r="B28" s="47" t="s">
        <v>37</v>
      </c>
      <c r="C28" s="18" t="s">
        <v>38</v>
      </c>
      <c r="D28" s="113">
        <v>1109.49</v>
      </c>
      <c r="E28" s="89">
        <v>0</v>
      </c>
      <c r="F28" s="13"/>
      <c r="G28" s="182"/>
      <c r="H28" s="59">
        <v>46.63</v>
      </c>
      <c r="I28" s="73">
        <f>H28</f>
        <v>46.63</v>
      </c>
      <c r="J28" s="57">
        <f t="shared" si="0"/>
        <v>0</v>
      </c>
      <c r="K28" s="83"/>
      <c r="L28" s="77">
        <f>L21/N21*D28</f>
        <v>2080.3922488940684</v>
      </c>
      <c r="M28" s="111">
        <f>M21/L21*E28</f>
        <v>0</v>
      </c>
      <c r="O28" s="98">
        <f>L28*N28/1000</f>
        <v>0</v>
      </c>
      <c r="Q28" s="108">
        <v>77.71</v>
      </c>
      <c r="R28" s="44"/>
      <c r="S28" s="153">
        <f t="shared" si="4"/>
        <v>46.62599999999999</v>
      </c>
    </row>
    <row r="29" spans="1:19" ht="30.75" customHeight="1">
      <c r="A29" s="48" t="s">
        <v>62</v>
      </c>
      <c r="B29" s="47" t="s">
        <v>37</v>
      </c>
      <c r="C29" s="18" t="s">
        <v>38</v>
      </c>
      <c r="D29" s="171">
        <v>19681.13</v>
      </c>
      <c r="E29" s="89">
        <f>44702.7+44005.6+18209.4</f>
        <v>106917.69999999998</v>
      </c>
      <c r="F29" s="211" t="s">
        <v>130</v>
      </c>
      <c r="G29" s="182"/>
      <c r="H29" s="59">
        <v>135.2</v>
      </c>
      <c r="I29" s="169">
        <v>0</v>
      </c>
      <c r="J29" s="57">
        <f t="shared" si="0"/>
        <v>-135.2</v>
      </c>
      <c r="K29" s="120">
        <f>I29/E29</f>
        <v>0</v>
      </c>
      <c r="L29" s="77"/>
      <c r="M29" s="77"/>
      <c r="O29" s="98"/>
      <c r="Q29" s="108">
        <v>225.35</v>
      </c>
      <c r="R29" s="44"/>
      <c r="S29" s="153">
        <f t="shared" si="4"/>
        <v>135.21</v>
      </c>
    </row>
    <row r="30" spans="1:19" ht="37.5" customHeight="1">
      <c r="A30" s="2" t="s">
        <v>61</v>
      </c>
      <c r="B30" s="17" t="s">
        <v>37</v>
      </c>
      <c r="C30" s="18" t="s">
        <v>38</v>
      </c>
      <c r="D30" s="172">
        <v>2041.09</v>
      </c>
      <c r="E30" s="89">
        <v>0</v>
      </c>
      <c r="F30" s="13"/>
      <c r="G30" s="182"/>
      <c r="H30" s="59">
        <v>1.33</v>
      </c>
      <c r="I30" s="59">
        <v>0</v>
      </c>
      <c r="J30" s="57">
        <f t="shared" si="0"/>
        <v>-1.33</v>
      </c>
      <c r="K30" s="83"/>
      <c r="L30" s="77"/>
      <c r="M30" s="77"/>
      <c r="O30" s="98"/>
      <c r="Q30" s="108">
        <v>2.22</v>
      </c>
      <c r="R30" s="44"/>
      <c r="S30" s="153">
        <f t="shared" si="4"/>
        <v>1.3320000000000003</v>
      </c>
    </row>
    <row r="31" spans="1:19" ht="1.5" customHeight="1" hidden="1">
      <c r="A31" s="2" t="s">
        <v>89</v>
      </c>
      <c r="B31" s="17" t="s">
        <v>37</v>
      </c>
      <c r="C31" s="18" t="s">
        <v>38</v>
      </c>
      <c r="D31" s="172"/>
      <c r="E31" s="89">
        <v>0</v>
      </c>
      <c r="F31" s="13"/>
      <c r="G31" s="182"/>
      <c r="H31" s="59">
        <v>0</v>
      </c>
      <c r="I31" s="59"/>
      <c r="J31" s="57">
        <f t="shared" si="0"/>
        <v>0</v>
      </c>
      <c r="K31" s="83"/>
      <c r="L31" s="77"/>
      <c r="M31" s="77"/>
      <c r="O31" s="98"/>
      <c r="Q31" s="98"/>
      <c r="R31" s="44"/>
      <c r="S31" s="153">
        <f t="shared" si="4"/>
        <v>0</v>
      </c>
    </row>
    <row r="32" spans="1:19" ht="48" customHeight="1">
      <c r="A32" s="49" t="s">
        <v>59</v>
      </c>
      <c r="B32" s="46" t="s">
        <v>40</v>
      </c>
      <c r="C32" s="18" t="s">
        <v>38</v>
      </c>
      <c r="D32" s="98">
        <v>29113.39</v>
      </c>
      <c r="E32" s="89">
        <v>53399.22</v>
      </c>
      <c r="F32" s="211" t="s">
        <v>130</v>
      </c>
      <c r="G32" s="182"/>
      <c r="H32" s="59">
        <v>1223.46</v>
      </c>
      <c r="I32" s="73">
        <f>H32</f>
        <v>1223.46</v>
      </c>
      <c r="J32" s="57">
        <f>I32-H32</f>
        <v>0</v>
      </c>
      <c r="K32" s="83"/>
      <c r="L32" s="77">
        <f>L21/N21*D32</f>
        <v>54590.19089404148</v>
      </c>
      <c r="M32" s="115">
        <f>M21/L21*E32</f>
        <v>1167.0291537045182</v>
      </c>
      <c r="N32" s="170"/>
      <c r="O32" s="98">
        <f>L32*N32/1000</f>
        <v>0</v>
      </c>
      <c r="Q32" s="108">
        <v>2039.1</v>
      </c>
      <c r="R32" s="98"/>
      <c r="S32" s="153">
        <f t="shared" si="4"/>
        <v>1223.46</v>
      </c>
    </row>
    <row r="33" spans="1:19" ht="29.25" customHeight="1">
      <c r="A33" s="10" t="s">
        <v>65</v>
      </c>
      <c r="B33" s="10" t="s">
        <v>35</v>
      </c>
      <c r="C33" s="6" t="s">
        <v>36</v>
      </c>
      <c r="D33" s="130">
        <v>1634</v>
      </c>
      <c r="E33" s="146">
        <f>D33</f>
        <v>1634</v>
      </c>
      <c r="F33" s="13"/>
      <c r="G33" s="182"/>
      <c r="H33" s="60">
        <v>178.8</v>
      </c>
      <c r="I33" s="73">
        <f>H33</f>
        <v>178.8</v>
      </c>
      <c r="J33" s="57">
        <f>I33-H33</f>
        <v>0</v>
      </c>
      <c r="K33" s="83"/>
      <c r="L33" s="77"/>
      <c r="M33" s="77"/>
      <c r="Q33" s="36">
        <v>715.19</v>
      </c>
      <c r="R33" s="98"/>
      <c r="S33" s="153">
        <f aca="true" t="shared" si="5" ref="S33:S43">Q33/12*3</f>
        <v>178.7975</v>
      </c>
    </row>
    <row r="34" spans="1:19" ht="27.75" customHeight="1">
      <c r="A34" s="27" t="s">
        <v>53</v>
      </c>
      <c r="B34" s="17" t="s">
        <v>54</v>
      </c>
      <c r="C34" s="6" t="s">
        <v>6</v>
      </c>
      <c r="D34" s="114">
        <v>531</v>
      </c>
      <c r="E34" s="146">
        <f>D34</f>
        <v>531</v>
      </c>
      <c r="F34" s="13"/>
      <c r="G34" s="182"/>
      <c r="H34" s="59">
        <v>334.92</v>
      </c>
      <c r="I34" s="73">
        <f>H34</f>
        <v>334.92</v>
      </c>
      <c r="J34" s="57">
        <f t="shared" si="0"/>
        <v>0</v>
      </c>
      <c r="K34" s="83"/>
      <c r="L34" s="77"/>
      <c r="M34" s="77"/>
      <c r="Q34" s="36">
        <v>1339.68</v>
      </c>
      <c r="R34" s="44"/>
      <c r="S34" s="153">
        <f t="shared" si="5"/>
        <v>334.92</v>
      </c>
    </row>
    <row r="35" spans="1:19" ht="22.5" customHeight="1">
      <c r="A35" s="40" t="s">
        <v>76</v>
      </c>
      <c r="B35" s="41"/>
      <c r="C35" s="38" t="s">
        <v>74</v>
      </c>
      <c r="D35" s="23">
        <f>D13+D14+D15+D17+D18+D19+D20+D21+D22+D16+D23+D24</f>
        <v>212230.2</v>
      </c>
      <c r="E35" s="23">
        <f>E13+E14+E15+E17+E18+E19+E20+E21+E22+E16+E23+E24</f>
        <v>209000.80000000002</v>
      </c>
      <c r="F35" s="23">
        <f>E35-D35</f>
        <v>-3229.399999999994</v>
      </c>
      <c r="G35" s="67"/>
      <c r="H35" s="61">
        <f>SUM(H13:H34)</f>
        <v>23388.775</v>
      </c>
      <c r="I35" s="62">
        <f>SUM(I13:I34)</f>
        <v>22823.715</v>
      </c>
      <c r="J35" s="63">
        <f>SUM(J13:J34)</f>
        <v>-565.0600000000002</v>
      </c>
      <c r="K35" s="84"/>
      <c r="L35" s="52">
        <f>L28+L32+L27+L26+L25</f>
        <v>444992.4499999999</v>
      </c>
      <c r="M35" s="52">
        <f>M28+M32+M27+M26+M25</f>
        <v>9725.24404027754</v>
      </c>
      <c r="N35" s="100"/>
      <c r="O35" s="52">
        <f>O28+O32+O27+O26+O25</f>
        <v>0</v>
      </c>
      <c r="P35" s="101"/>
      <c r="Q35" s="71">
        <f>SUM(Q13:Q34)</f>
        <v>70544.30000000002</v>
      </c>
      <c r="R35" s="71"/>
      <c r="S35" s="33"/>
    </row>
    <row r="36" spans="1:19" ht="39.75" customHeight="1">
      <c r="A36" s="14" t="s">
        <v>58</v>
      </c>
      <c r="B36" s="14" t="s">
        <v>4</v>
      </c>
      <c r="C36" s="6" t="s">
        <v>5</v>
      </c>
      <c r="D36" s="18">
        <v>9</v>
      </c>
      <c r="E36" s="6">
        <v>9</v>
      </c>
      <c r="F36" s="1"/>
      <c r="G36" s="187" t="s">
        <v>122</v>
      </c>
      <c r="H36" s="58">
        <v>5025.52</v>
      </c>
      <c r="I36" s="58">
        <f>H36</f>
        <v>5025.52</v>
      </c>
      <c r="J36" s="57">
        <f aca="true" t="shared" si="6" ref="J36:J47">H36-I36</f>
        <v>0</v>
      </c>
      <c r="K36" s="85"/>
      <c r="L36" s="51"/>
      <c r="M36" s="51"/>
      <c r="N36" s="97">
        <f>N38-N37</f>
        <v>1743.25</v>
      </c>
      <c r="Q36" s="102">
        <v>20102.06</v>
      </c>
      <c r="R36" s="103"/>
      <c r="S36" s="153">
        <f t="shared" si="5"/>
        <v>5025.515</v>
      </c>
    </row>
    <row r="37" spans="1:19" ht="46.5" customHeight="1">
      <c r="A37" s="14" t="s">
        <v>55</v>
      </c>
      <c r="B37" s="14" t="s">
        <v>22</v>
      </c>
      <c r="C37" s="6" t="s">
        <v>6</v>
      </c>
      <c r="D37" s="18">
        <v>13505</v>
      </c>
      <c r="E37" s="6">
        <v>13505</v>
      </c>
      <c r="F37" s="1"/>
      <c r="G37" s="188"/>
      <c r="H37" s="58">
        <v>3425.14</v>
      </c>
      <c r="I37" s="58">
        <f>H37</f>
        <v>3425.14</v>
      </c>
      <c r="J37" s="74">
        <f t="shared" si="6"/>
        <v>0</v>
      </c>
      <c r="K37" s="79"/>
      <c r="L37" s="51"/>
      <c r="M37" s="51"/>
      <c r="N37" s="97">
        <v>0</v>
      </c>
      <c r="Q37" s="98">
        <v>13700.55</v>
      </c>
      <c r="R37" s="44"/>
      <c r="S37" s="153">
        <f t="shared" si="5"/>
        <v>3425.1375</v>
      </c>
    </row>
    <row r="38" spans="1:19" ht="21.75" customHeight="1">
      <c r="A38" s="189" t="s">
        <v>49</v>
      </c>
      <c r="B38" s="190"/>
      <c r="C38" s="22"/>
      <c r="D38" s="22"/>
      <c r="E38" s="22"/>
      <c r="F38" s="26"/>
      <c r="G38" s="67"/>
      <c r="H38" s="64">
        <f>H36+H37</f>
        <v>8450.66</v>
      </c>
      <c r="I38" s="65">
        <f>I36+I37</f>
        <v>8450.66</v>
      </c>
      <c r="J38" s="65">
        <f>J36+J37</f>
        <v>0</v>
      </c>
      <c r="K38" s="86"/>
      <c r="L38" s="53"/>
      <c r="M38" s="53"/>
      <c r="N38" s="104">
        <v>1743.25</v>
      </c>
      <c r="O38" s="104"/>
      <c r="P38" s="101" t="s">
        <v>99</v>
      </c>
      <c r="Q38" s="105">
        <f>Q36+Q37</f>
        <v>33802.61</v>
      </c>
      <c r="R38" s="106" t="s">
        <v>94</v>
      </c>
      <c r="S38" s="33">
        <f>Q38/12</f>
        <v>2816.8841666666667</v>
      </c>
    </row>
    <row r="39" spans="1:19" s="31" customFormat="1" ht="39" customHeight="1">
      <c r="A39" s="144" t="s">
        <v>113</v>
      </c>
      <c r="B39" s="145" t="s">
        <v>114</v>
      </c>
      <c r="C39" s="18" t="s">
        <v>74</v>
      </c>
      <c r="D39" s="18">
        <v>11702.5</v>
      </c>
      <c r="E39" s="18">
        <f>D39</f>
        <v>11702.5</v>
      </c>
      <c r="F39" s="141"/>
      <c r="G39" s="139" t="s">
        <v>122</v>
      </c>
      <c r="H39" s="155">
        <v>255.61</v>
      </c>
      <c r="I39" s="155">
        <f>H39</f>
        <v>255.61</v>
      </c>
      <c r="J39" s="152">
        <f t="shared" si="6"/>
        <v>0</v>
      </c>
      <c r="K39" s="142"/>
      <c r="L39" s="143"/>
      <c r="M39" s="143"/>
      <c r="N39" s="44"/>
      <c r="O39" s="44"/>
      <c r="P39" s="106"/>
      <c r="Q39" s="105">
        <v>1022.45</v>
      </c>
      <c r="R39" s="106"/>
      <c r="S39" s="153">
        <f t="shared" si="5"/>
        <v>255.6125</v>
      </c>
    </row>
    <row r="40" spans="1:19" ht="46.5" customHeight="1">
      <c r="A40" s="147" t="s">
        <v>56</v>
      </c>
      <c r="B40" s="147" t="s">
        <v>2</v>
      </c>
      <c r="C40" s="148" t="s">
        <v>1</v>
      </c>
      <c r="D40" s="149">
        <v>427108.97</v>
      </c>
      <c r="E40" s="150">
        <f>D40</f>
        <v>427108.97</v>
      </c>
      <c r="F40" s="160"/>
      <c r="G40" s="191" t="s">
        <v>122</v>
      </c>
      <c r="H40" s="151">
        <v>27521.83</v>
      </c>
      <c r="I40" s="151">
        <f>H40</f>
        <v>27521.83</v>
      </c>
      <c r="J40" s="152">
        <f t="shared" si="6"/>
        <v>0</v>
      </c>
      <c r="K40" s="78"/>
      <c r="L40" s="51"/>
      <c r="M40" s="51"/>
      <c r="N40" s="97">
        <f>N44/D44*D40</f>
        <v>7249.118773470755</v>
      </c>
      <c r="P40" s="97">
        <f>Q40/12</f>
        <v>9173.945</v>
      </c>
      <c r="Q40" s="98">
        <v>110087.34</v>
      </c>
      <c r="R40" s="44"/>
      <c r="S40" s="153">
        <f t="shared" si="5"/>
        <v>27521.835</v>
      </c>
    </row>
    <row r="41" spans="1:19" ht="32.25" customHeight="1">
      <c r="A41" s="147" t="s">
        <v>57</v>
      </c>
      <c r="B41" s="147" t="s">
        <v>72</v>
      </c>
      <c r="C41" s="148" t="s">
        <v>1</v>
      </c>
      <c r="D41" s="149">
        <v>155007.56</v>
      </c>
      <c r="E41" s="150">
        <f>D41</f>
        <v>155007.56</v>
      </c>
      <c r="F41" s="160"/>
      <c r="G41" s="192"/>
      <c r="H41" s="151">
        <v>7069.9</v>
      </c>
      <c r="I41" s="151">
        <f>H41</f>
        <v>7069.9</v>
      </c>
      <c r="J41" s="152">
        <f t="shared" si="6"/>
        <v>0</v>
      </c>
      <c r="K41" s="78"/>
      <c r="L41" s="51"/>
      <c r="M41" s="51"/>
      <c r="N41" s="97">
        <f>N44/D44*D41</f>
        <v>2630.8700873828393</v>
      </c>
      <c r="P41" s="97">
        <f>Q41/12</f>
        <v>2356.6316666666667</v>
      </c>
      <c r="Q41" s="98">
        <v>28279.58</v>
      </c>
      <c r="R41" s="44"/>
      <c r="S41" s="153">
        <f t="shared" si="5"/>
        <v>7069.895</v>
      </c>
    </row>
    <row r="42" spans="1:19" ht="32.25" customHeight="1">
      <c r="A42" s="147" t="s">
        <v>71</v>
      </c>
      <c r="B42" s="147" t="s">
        <v>73</v>
      </c>
      <c r="C42" s="148" t="s">
        <v>1</v>
      </c>
      <c r="D42" s="149">
        <v>31881.94</v>
      </c>
      <c r="E42" s="150">
        <f>D42</f>
        <v>31881.94</v>
      </c>
      <c r="F42" s="160"/>
      <c r="G42" s="192"/>
      <c r="H42" s="151">
        <v>1038.95</v>
      </c>
      <c r="I42" s="151">
        <f>H42</f>
        <v>1038.95</v>
      </c>
      <c r="J42" s="152">
        <f t="shared" si="6"/>
        <v>0</v>
      </c>
      <c r="K42" s="78"/>
      <c r="L42" s="51"/>
      <c r="M42" s="51"/>
      <c r="N42" s="97">
        <f>N44/D44*D42</f>
        <v>541.1171059897623</v>
      </c>
      <c r="P42" s="97">
        <f>Q42/12</f>
        <v>346.31750000000005</v>
      </c>
      <c r="Q42" s="98">
        <v>4155.81</v>
      </c>
      <c r="R42" s="44"/>
      <c r="S42" s="153">
        <f t="shared" si="5"/>
        <v>1038.9525</v>
      </c>
    </row>
    <row r="43" spans="1:19" ht="32.25" customHeight="1">
      <c r="A43" s="147" t="s">
        <v>93</v>
      </c>
      <c r="B43" s="147" t="s">
        <v>92</v>
      </c>
      <c r="C43" s="148" t="s">
        <v>1</v>
      </c>
      <c r="D43" s="149">
        <v>1746</v>
      </c>
      <c r="E43" s="150">
        <f>D43</f>
        <v>1746</v>
      </c>
      <c r="F43" s="160"/>
      <c r="G43" s="193"/>
      <c r="H43" s="151">
        <v>40.1875</v>
      </c>
      <c r="I43" s="151">
        <f>H43</f>
        <v>40.1875</v>
      </c>
      <c r="J43" s="152">
        <f t="shared" si="6"/>
        <v>0</v>
      </c>
      <c r="K43" s="78"/>
      <c r="L43" s="51"/>
      <c r="M43" s="51"/>
      <c r="N43" s="97">
        <f>N44/D44*D43</f>
        <v>29.6340331566437</v>
      </c>
      <c r="P43" s="97">
        <f>Q43/12</f>
        <v>13.395833333333334</v>
      </c>
      <c r="Q43" s="98">
        <v>160.75</v>
      </c>
      <c r="R43" s="44"/>
      <c r="S43" s="153">
        <f t="shared" si="5"/>
        <v>40.1875</v>
      </c>
    </row>
    <row r="44" spans="1:19" ht="24" customHeight="1">
      <c r="A44" s="189" t="s">
        <v>24</v>
      </c>
      <c r="B44" s="190"/>
      <c r="C44" s="24" t="s">
        <v>1</v>
      </c>
      <c r="D44" s="25">
        <f>D40+D41+D42+D43</f>
        <v>615744.47</v>
      </c>
      <c r="E44" s="34">
        <f>E40+E41+E42+E43</f>
        <v>615744.47</v>
      </c>
      <c r="F44" s="25"/>
      <c r="G44" s="25"/>
      <c r="H44" s="34">
        <f>H40+H41+H42+H43</f>
        <v>35670.8675</v>
      </c>
      <c r="I44" s="34">
        <f>I40+I41+I42+I43</f>
        <v>35670.8675</v>
      </c>
      <c r="J44" s="34">
        <f>J40+J41+J42+J43</f>
        <v>0</v>
      </c>
      <c r="K44" s="87"/>
      <c r="L44" s="34"/>
      <c r="M44" s="34"/>
      <c r="N44" s="98">
        <v>10450.74</v>
      </c>
      <c r="O44" s="98"/>
      <c r="P44" s="101" t="s">
        <v>99</v>
      </c>
      <c r="Q44" s="105">
        <f>SUM(Q40:Q43)</f>
        <v>142683.47999999998</v>
      </c>
      <c r="R44" s="106" t="s">
        <v>94</v>
      </c>
      <c r="S44" s="33">
        <f>Q44/12*2</f>
        <v>23780.579999999998</v>
      </c>
    </row>
    <row r="45" spans="1:19" s="31" customFormat="1" ht="64.5" customHeight="1">
      <c r="A45" s="45" t="s">
        <v>84</v>
      </c>
      <c r="B45" s="159" t="s">
        <v>52</v>
      </c>
      <c r="C45" s="157" t="s">
        <v>74</v>
      </c>
      <c r="D45" s="149">
        <v>12564</v>
      </c>
      <c r="E45" s="149">
        <f>D45</f>
        <v>12564</v>
      </c>
      <c r="F45" s="28"/>
      <c r="G45" s="139" t="s">
        <v>122</v>
      </c>
      <c r="H45" s="151">
        <v>7110.22</v>
      </c>
      <c r="I45" s="151">
        <v>6954.1</v>
      </c>
      <c r="J45" s="152">
        <f t="shared" si="6"/>
        <v>156.1199999999999</v>
      </c>
      <c r="K45" s="80"/>
      <c r="L45" s="54"/>
      <c r="M45" s="54"/>
      <c r="N45" s="44">
        <v>6649616.59</v>
      </c>
      <c r="O45" s="44"/>
      <c r="P45" s="88"/>
      <c r="Q45" s="98">
        <v>7110.22</v>
      </c>
      <c r="R45" s="44"/>
      <c r="S45" s="33"/>
    </row>
    <row r="46" spans="1:19" s="31" customFormat="1" ht="48.75" customHeight="1">
      <c r="A46" s="141" t="s">
        <v>118</v>
      </c>
      <c r="B46" s="159" t="s">
        <v>119</v>
      </c>
      <c r="C46" s="157" t="s">
        <v>104</v>
      </c>
      <c r="D46" s="158">
        <v>3</v>
      </c>
      <c r="E46" s="158">
        <v>1</v>
      </c>
      <c r="F46" s="123" t="s">
        <v>131</v>
      </c>
      <c r="G46" s="138"/>
      <c r="H46" s="156">
        <v>114.3</v>
      </c>
      <c r="I46" s="151">
        <f>H46</f>
        <v>114.3</v>
      </c>
      <c r="J46" s="152">
        <f t="shared" si="6"/>
        <v>0</v>
      </c>
      <c r="K46" s="80"/>
      <c r="L46" s="54"/>
      <c r="M46" s="54"/>
      <c r="N46" s="44"/>
      <c r="O46" s="44"/>
      <c r="P46" s="44"/>
      <c r="Q46" s="98">
        <v>381.95</v>
      </c>
      <c r="R46" s="44"/>
      <c r="S46" s="153">
        <f>Q46/12*3</f>
        <v>95.4875</v>
      </c>
    </row>
    <row r="47" spans="1:19" s="31" customFormat="1" ht="31.5" customHeight="1">
      <c r="A47" s="141" t="s">
        <v>117</v>
      </c>
      <c r="B47" s="159" t="s">
        <v>115</v>
      </c>
      <c r="C47" s="157" t="s">
        <v>116</v>
      </c>
      <c r="D47" s="149">
        <v>76534</v>
      </c>
      <c r="E47" s="149">
        <v>68704</v>
      </c>
      <c r="F47" s="123"/>
      <c r="G47" s="138"/>
      <c r="H47" s="156">
        <v>1101.4</v>
      </c>
      <c r="I47" s="151">
        <f>H47</f>
        <v>1101.4</v>
      </c>
      <c r="J47" s="152">
        <f t="shared" si="6"/>
        <v>0</v>
      </c>
      <c r="K47" s="80"/>
      <c r="L47" s="54"/>
      <c r="M47" s="54"/>
      <c r="N47" s="44"/>
      <c r="O47" s="44"/>
      <c r="P47" s="44"/>
      <c r="Q47" s="98">
        <v>4193.3</v>
      </c>
      <c r="R47" s="44"/>
      <c r="S47" s="153">
        <f>Q47/5*3</f>
        <v>2515.9800000000005</v>
      </c>
    </row>
    <row r="48" spans="1:13" ht="27" customHeight="1" hidden="1">
      <c r="A48" s="194" t="s">
        <v>85</v>
      </c>
      <c r="B48" s="17" t="s">
        <v>86</v>
      </c>
      <c r="C48" s="6" t="s">
        <v>6</v>
      </c>
      <c r="D48" s="18"/>
      <c r="E48" s="69">
        <f>D48</f>
        <v>0</v>
      </c>
      <c r="F48" s="196"/>
      <c r="G48" s="181"/>
      <c r="H48" s="199">
        <v>0</v>
      </c>
      <c r="I48" s="201">
        <f>H48</f>
        <v>0</v>
      </c>
      <c r="J48" s="203">
        <f>I48-H48</f>
        <v>0</v>
      </c>
      <c r="K48" s="81"/>
      <c r="L48" s="55"/>
      <c r="M48" s="55"/>
    </row>
    <row r="49" spans="1:13" ht="23.25" customHeight="1" hidden="1">
      <c r="A49" s="195"/>
      <c r="B49" s="14" t="s">
        <v>87</v>
      </c>
      <c r="C49" s="6" t="s">
        <v>6</v>
      </c>
      <c r="D49" s="18"/>
      <c r="E49" s="69">
        <f>D49</f>
        <v>0</v>
      </c>
      <c r="F49" s="197"/>
      <c r="G49" s="198"/>
      <c r="H49" s="200"/>
      <c r="I49" s="202"/>
      <c r="J49" s="204"/>
      <c r="K49" s="81"/>
      <c r="L49" s="55"/>
      <c r="M49" s="55"/>
    </row>
    <row r="50" spans="1:19" ht="29.25" customHeight="1">
      <c r="A50" s="205" t="s">
        <v>21</v>
      </c>
      <c r="B50" s="206"/>
      <c r="C50" s="206"/>
      <c r="D50" s="206"/>
      <c r="E50" s="206"/>
      <c r="F50" s="207"/>
      <c r="G50" s="68"/>
      <c r="H50" s="66">
        <f>H12+H35+H38+H44+H48+H49+H45</f>
        <v>74620.5225</v>
      </c>
      <c r="I50" s="66">
        <f>I12+I35+I38+I44+I48+I49+I45</f>
        <v>73899.3425</v>
      </c>
      <c r="J50" s="167">
        <f>J12+J35+J38+J44+J48+J49+J45</f>
        <v>-408.9400000000003</v>
      </c>
      <c r="K50" s="82"/>
      <c r="L50" s="56"/>
      <c r="M50" s="56"/>
      <c r="Q50" s="107"/>
      <c r="R50" s="107"/>
      <c r="S50" s="76"/>
    </row>
    <row r="51" spans="1:9" ht="48.75" customHeight="1">
      <c r="A51" s="174" t="s">
        <v>81</v>
      </c>
      <c r="B51" s="174"/>
      <c r="C51" s="174"/>
      <c r="D51" s="32"/>
      <c r="E51" s="175" t="s">
        <v>123</v>
      </c>
      <c r="F51" s="175"/>
      <c r="G51" s="175"/>
      <c r="H51" s="15"/>
      <c r="I51" s="15"/>
    </row>
    <row r="52" spans="1:9" ht="19.5" customHeight="1">
      <c r="A52" s="125"/>
      <c r="B52" s="125"/>
      <c r="C52" s="125"/>
      <c r="D52" s="129"/>
      <c r="E52" s="125"/>
      <c r="F52" s="125"/>
      <c r="G52" s="126"/>
      <c r="H52" s="29"/>
      <c r="I52" s="112"/>
    </row>
    <row r="53" spans="1:9" ht="27" customHeight="1">
      <c r="A53" s="176" t="s">
        <v>105</v>
      </c>
      <c r="B53" s="176"/>
      <c r="C53" s="127"/>
      <c r="D53" s="32"/>
      <c r="E53" s="127"/>
      <c r="F53" s="127"/>
      <c r="G53" s="128" t="s">
        <v>82</v>
      </c>
      <c r="H53" s="15"/>
      <c r="I53" s="15"/>
    </row>
    <row r="54" spans="1:9" ht="27" customHeight="1">
      <c r="A54" s="154"/>
      <c r="B54" s="154"/>
      <c r="C54" s="127"/>
      <c r="D54" s="32"/>
      <c r="E54" s="127"/>
      <c r="F54" s="127"/>
      <c r="G54" s="128"/>
      <c r="H54" s="15"/>
      <c r="I54" s="15"/>
    </row>
    <row r="55" spans="1:9" ht="29.25" customHeight="1">
      <c r="A55" s="176" t="s">
        <v>106</v>
      </c>
      <c r="B55" s="176"/>
      <c r="C55" s="127"/>
      <c r="D55" s="32"/>
      <c r="E55" s="127"/>
      <c r="F55" s="127"/>
      <c r="G55" s="128" t="s">
        <v>128</v>
      </c>
      <c r="H55" s="15"/>
      <c r="I55" s="15"/>
    </row>
    <row r="56" spans="1:9" ht="38.25" customHeight="1">
      <c r="A56" s="176" t="s">
        <v>125</v>
      </c>
      <c r="B56" s="176"/>
      <c r="C56" s="127"/>
      <c r="D56" s="32"/>
      <c r="E56" s="127"/>
      <c r="F56" s="127"/>
      <c r="G56" s="168" t="s">
        <v>124</v>
      </c>
      <c r="H56" s="15"/>
      <c r="I56" s="15"/>
    </row>
    <row r="57" spans="2:9" ht="15">
      <c r="B57" s="16"/>
      <c r="F57" s="15"/>
      <c r="G57" s="15"/>
      <c r="H57" s="15"/>
      <c r="I57" s="15"/>
    </row>
    <row r="58" spans="6:9" ht="15">
      <c r="F58" s="15"/>
      <c r="G58" s="15"/>
      <c r="H58" s="15"/>
      <c r="I58" s="15"/>
    </row>
    <row r="59" spans="6:24" ht="15">
      <c r="F59" s="15"/>
      <c r="G59" s="15"/>
      <c r="H59" s="15"/>
      <c r="I59" s="15"/>
      <c r="X59" s="11" t="s">
        <v>98</v>
      </c>
    </row>
    <row r="60" spans="1:9" ht="15">
      <c r="A60" s="137" t="s">
        <v>48</v>
      </c>
      <c r="F60" s="15"/>
      <c r="G60" s="15"/>
      <c r="H60" s="15"/>
      <c r="I60" s="15"/>
    </row>
    <row r="61" spans="1:19" s="35" customFormat="1" ht="15" hidden="1">
      <c r="A61" s="11"/>
      <c r="B61" s="11"/>
      <c r="C61" s="11"/>
      <c r="D61" s="31"/>
      <c r="E61" s="11"/>
      <c r="F61" s="11"/>
      <c r="G61" s="11"/>
      <c r="H61" s="11"/>
      <c r="I61" s="11"/>
      <c r="J61" s="21"/>
      <c r="K61" s="21"/>
      <c r="L61" s="21"/>
      <c r="M61" s="21"/>
      <c r="N61" s="97"/>
      <c r="O61" s="97"/>
      <c r="P61" s="97"/>
      <c r="Q61" s="31"/>
      <c r="R61" s="31"/>
      <c r="S61" s="11"/>
    </row>
    <row r="62" spans="1:19" s="35" customFormat="1" ht="42.75" customHeight="1" hidden="1">
      <c r="A62" s="7" t="s">
        <v>23</v>
      </c>
      <c r="B62" s="6" t="s">
        <v>3</v>
      </c>
      <c r="C62" s="6" t="s">
        <v>1</v>
      </c>
      <c r="D62" s="18">
        <v>0</v>
      </c>
      <c r="E62" s="6">
        <v>0</v>
      </c>
      <c r="F62" s="6"/>
      <c r="G62" s="6"/>
      <c r="H62" s="13">
        <v>0</v>
      </c>
      <c r="I62" s="13">
        <v>0</v>
      </c>
      <c r="J62" s="20">
        <f aca="true" t="shared" si="7" ref="J62:J67">I62-H62</f>
        <v>0</v>
      </c>
      <c r="K62" s="55"/>
      <c r="L62" s="55"/>
      <c r="M62" s="55"/>
      <c r="N62" s="97"/>
      <c r="O62" s="97"/>
      <c r="P62" s="97"/>
      <c r="Q62" s="31"/>
      <c r="R62" s="31"/>
      <c r="S62" s="11"/>
    </row>
    <row r="63" spans="1:19" s="35" customFormat="1" ht="72" customHeight="1" hidden="1">
      <c r="A63" s="7" t="s">
        <v>16</v>
      </c>
      <c r="B63" s="6" t="s">
        <v>0</v>
      </c>
      <c r="C63" s="6" t="s">
        <v>6</v>
      </c>
      <c r="D63" s="18"/>
      <c r="E63" s="6"/>
      <c r="F63" s="6"/>
      <c r="G63" s="6"/>
      <c r="H63" s="5"/>
      <c r="I63" s="6"/>
      <c r="J63" s="20">
        <f>I63-H63</f>
        <v>0</v>
      </c>
      <c r="K63" s="55"/>
      <c r="L63" s="55"/>
      <c r="M63" s="55"/>
      <c r="N63" s="97"/>
      <c r="O63" s="97"/>
      <c r="P63" s="97"/>
      <c r="Q63" s="31"/>
      <c r="R63" s="31"/>
      <c r="S63" s="11"/>
    </row>
    <row r="64" spans="1:19" s="35" customFormat="1" ht="41.25" customHeight="1" hidden="1">
      <c r="A64" s="6" t="s">
        <v>14</v>
      </c>
      <c r="B64" s="6" t="s">
        <v>3</v>
      </c>
      <c r="C64" s="6" t="s">
        <v>13</v>
      </c>
      <c r="D64" s="28"/>
      <c r="E64" s="6"/>
      <c r="F64" s="6"/>
      <c r="G64" s="6"/>
      <c r="H64" s="5"/>
      <c r="I64" s="5"/>
      <c r="J64" s="20">
        <f t="shared" si="7"/>
        <v>0</v>
      </c>
      <c r="K64" s="55"/>
      <c r="L64" s="55"/>
      <c r="M64" s="55"/>
      <c r="N64" s="97"/>
      <c r="O64" s="97"/>
      <c r="P64" s="97"/>
      <c r="Q64" s="31"/>
      <c r="R64" s="31"/>
      <c r="S64" s="11"/>
    </row>
    <row r="65" spans="1:19" s="35" customFormat="1" ht="15" hidden="1">
      <c r="A65" s="9" t="s">
        <v>17</v>
      </c>
      <c r="B65" s="6" t="s">
        <v>0</v>
      </c>
      <c r="C65" s="6" t="s">
        <v>15</v>
      </c>
      <c r="D65" s="28"/>
      <c r="E65" s="6"/>
      <c r="F65" s="6"/>
      <c r="G65" s="6"/>
      <c r="H65" s="5"/>
      <c r="I65" s="5"/>
      <c r="J65" s="20">
        <f t="shared" si="7"/>
        <v>0</v>
      </c>
      <c r="K65" s="55"/>
      <c r="L65" s="55"/>
      <c r="M65" s="55"/>
      <c r="N65" s="97"/>
      <c r="O65" s="97"/>
      <c r="P65" s="97"/>
      <c r="Q65" s="31"/>
      <c r="R65" s="31"/>
      <c r="S65" s="11"/>
    </row>
    <row r="66" spans="1:19" s="35" customFormat="1" ht="15" hidden="1">
      <c r="A66" s="7" t="s">
        <v>18</v>
      </c>
      <c r="B66" s="6" t="s">
        <v>3</v>
      </c>
      <c r="C66" s="6" t="s">
        <v>13</v>
      </c>
      <c r="D66" s="18"/>
      <c r="E66" s="6"/>
      <c r="F66" s="6"/>
      <c r="G66" s="6"/>
      <c r="H66" s="5"/>
      <c r="I66" s="5"/>
      <c r="J66" s="20">
        <v>0</v>
      </c>
      <c r="K66" s="55"/>
      <c r="L66" s="55"/>
      <c r="M66" s="55"/>
      <c r="N66" s="97"/>
      <c r="O66" s="97"/>
      <c r="P66" s="97"/>
      <c r="Q66" s="31"/>
      <c r="R66" s="31"/>
      <c r="S66" s="11"/>
    </row>
    <row r="67" spans="1:19" s="35" customFormat="1" ht="15" hidden="1">
      <c r="A67" s="6" t="s">
        <v>19</v>
      </c>
      <c r="B67" s="6" t="s">
        <v>0</v>
      </c>
      <c r="C67" s="6" t="s">
        <v>6</v>
      </c>
      <c r="D67" s="28"/>
      <c r="E67" s="6"/>
      <c r="F67" s="6"/>
      <c r="G67" s="6"/>
      <c r="H67" s="5"/>
      <c r="I67" s="5"/>
      <c r="J67" s="20">
        <f t="shared" si="7"/>
        <v>0</v>
      </c>
      <c r="K67" s="55"/>
      <c r="L67" s="55"/>
      <c r="M67" s="55"/>
      <c r="N67" s="97"/>
      <c r="O67" s="97"/>
      <c r="P67" s="97"/>
      <c r="Q67" s="31"/>
      <c r="R67" s="31"/>
      <c r="S67" s="11"/>
    </row>
    <row r="68" spans="1:19" s="35" customFormat="1" ht="15" hidden="1">
      <c r="A68" s="8" t="s">
        <v>20</v>
      </c>
      <c r="B68" s="6" t="s">
        <v>0</v>
      </c>
      <c r="C68" s="6" t="s">
        <v>1</v>
      </c>
      <c r="D68" s="18"/>
      <c r="E68" s="6"/>
      <c r="F68" s="6"/>
      <c r="G68" s="6"/>
      <c r="H68" s="5"/>
      <c r="I68" s="5"/>
      <c r="J68" s="20">
        <f>I68-H68</f>
        <v>0</v>
      </c>
      <c r="K68" s="55"/>
      <c r="L68" s="55"/>
      <c r="M68" s="55"/>
      <c r="N68" s="97"/>
      <c r="O68" s="97"/>
      <c r="P68" s="97"/>
      <c r="Q68" s="31"/>
      <c r="R68" s="31"/>
      <c r="S68" s="11"/>
    </row>
    <row r="69" spans="1:19" s="35" customFormat="1" ht="30" hidden="1">
      <c r="A69" s="194" t="s">
        <v>25</v>
      </c>
      <c r="B69" s="7" t="s">
        <v>26</v>
      </c>
      <c r="C69" s="6" t="s">
        <v>1</v>
      </c>
      <c r="D69" s="18">
        <v>24824</v>
      </c>
      <c r="E69" s="183" t="s">
        <v>29</v>
      </c>
      <c r="F69" s="183" t="s">
        <v>29</v>
      </c>
      <c r="G69" s="91"/>
      <c r="H69" s="185">
        <v>28703.38</v>
      </c>
      <c r="I69" s="183" t="s">
        <v>28</v>
      </c>
      <c r="J69" s="208"/>
      <c r="K69" s="55"/>
      <c r="L69" s="55"/>
      <c r="M69" s="55"/>
      <c r="N69" s="97"/>
      <c r="O69" s="97"/>
      <c r="P69" s="97"/>
      <c r="Q69" s="31"/>
      <c r="R69" s="31"/>
      <c r="S69" s="11"/>
    </row>
    <row r="70" spans="1:19" s="35" customFormat="1" ht="45" hidden="1">
      <c r="A70" s="195"/>
      <c r="B70" s="7" t="s">
        <v>27</v>
      </c>
      <c r="C70" s="6" t="s">
        <v>5</v>
      </c>
      <c r="D70" s="18">
        <v>6</v>
      </c>
      <c r="E70" s="184"/>
      <c r="F70" s="184"/>
      <c r="G70" s="92"/>
      <c r="H70" s="186"/>
      <c r="I70" s="184"/>
      <c r="J70" s="209"/>
      <c r="K70" s="55"/>
      <c r="L70" s="55"/>
      <c r="M70" s="55"/>
      <c r="N70" s="97"/>
      <c r="O70" s="97"/>
      <c r="P70" s="97"/>
      <c r="Q70" s="31"/>
      <c r="R70" s="31"/>
      <c r="S70" s="11"/>
    </row>
  </sheetData>
  <sheetProtection/>
  <mergeCells count="28">
    <mergeCell ref="I69:I70"/>
    <mergeCell ref="A55:B55"/>
    <mergeCell ref="H48:H49"/>
    <mergeCell ref="I48:I49"/>
    <mergeCell ref="J48:J49"/>
    <mergeCell ref="A50:F50"/>
    <mergeCell ref="J69:J70"/>
    <mergeCell ref="A56:B56"/>
    <mergeCell ref="A69:A70"/>
    <mergeCell ref="E69:E70"/>
    <mergeCell ref="F69:F70"/>
    <mergeCell ref="H69:H70"/>
    <mergeCell ref="G36:G37"/>
    <mergeCell ref="A38:B38"/>
    <mergeCell ref="G40:G43"/>
    <mergeCell ref="A44:B44"/>
    <mergeCell ref="A48:A49"/>
    <mergeCell ref="F48:F49"/>
    <mergeCell ref="G48:G49"/>
    <mergeCell ref="C3:E3"/>
    <mergeCell ref="H3:J3"/>
    <mergeCell ref="A51:C51"/>
    <mergeCell ref="E51:G51"/>
    <mergeCell ref="A53:B53"/>
    <mergeCell ref="A7:J7"/>
    <mergeCell ref="A10:G10"/>
    <mergeCell ref="A11:G11"/>
    <mergeCell ref="G13:G3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3.421875" style="0" customWidth="1"/>
  </cols>
  <sheetData>
    <row r="9" spans="1:5" ht="15">
      <c r="A9" s="133"/>
      <c r="B9" s="134"/>
      <c r="C9" s="133"/>
      <c r="D9" s="133"/>
      <c r="E9" s="133"/>
    </row>
    <row r="10" spans="1:5" ht="15">
      <c r="A10" s="133"/>
      <c r="B10" s="134"/>
      <c r="C10" s="133"/>
      <c r="D10" s="133"/>
      <c r="E10" s="133"/>
    </row>
    <row r="11" spans="1:5" ht="15">
      <c r="A11" s="131"/>
      <c r="B11" s="132"/>
      <c r="C11" s="131"/>
      <c r="D11" s="131"/>
      <c r="E11" s="131"/>
    </row>
    <row r="12" spans="1:5" ht="27" customHeight="1">
      <c r="A12" s="133"/>
      <c r="B12" s="134"/>
      <c r="C12" s="135"/>
      <c r="D12" s="133"/>
      <c r="E12" s="133"/>
    </row>
    <row r="13" spans="1:5" ht="27" customHeight="1">
      <c r="A13" s="133"/>
      <c r="B13" s="134"/>
      <c r="C13" s="136"/>
      <c r="D13" s="133"/>
      <c r="E13" s="133"/>
    </row>
    <row r="14" spans="1:5" ht="15">
      <c r="A14" s="133"/>
      <c r="B14" s="133"/>
      <c r="C14" s="133"/>
      <c r="D14" s="133"/>
      <c r="E14" s="133"/>
    </row>
    <row r="15" spans="1:5" ht="28.5" customHeight="1">
      <c r="A15" s="133"/>
      <c r="B15" s="134"/>
      <c r="C15" s="133"/>
      <c r="D15" s="133"/>
      <c r="E15" s="133"/>
    </row>
    <row r="16" spans="1:5" ht="20.25" customHeight="1">
      <c r="A16" s="133"/>
      <c r="B16" s="134"/>
      <c r="C16" s="133"/>
      <c r="D16" s="133"/>
      <c r="E16" s="133"/>
    </row>
    <row r="17" spans="1:5" ht="20.25" customHeight="1">
      <c r="A17" s="133"/>
      <c r="B17" s="134"/>
      <c r="C17" s="133"/>
      <c r="D17" s="133"/>
      <c r="E17" s="133"/>
    </row>
    <row r="18" spans="1:5" ht="18.75" customHeight="1">
      <c r="A18" s="133"/>
      <c r="B18" s="134"/>
      <c r="C18" s="133"/>
      <c r="D18" s="133"/>
      <c r="E18" s="133"/>
    </row>
    <row r="19" spans="1:5" ht="18.75" customHeight="1">
      <c r="A19" s="133"/>
      <c r="B19" s="134"/>
      <c r="C19" s="133"/>
      <c r="D19" s="133"/>
      <c r="E19" s="133"/>
    </row>
    <row r="20" spans="1:5" ht="18" customHeight="1">
      <c r="A20" s="133"/>
      <c r="B20" s="134"/>
      <c r="C20" s="133"/>
      <c r="D20" s="133"/>
      <c r="E20" s="133"/>
    </row>
    <row r="21" spans="1:5" ht="18.75" customHeight="1">
      <c r="A21" s="133"/>
      <c r="B21" s="134"/>
      <c r="C21" s="133"/>
      <c r="D21" s="133"/>
      <c r="E21" s="133"/>
    </row>
    <row r="22" spans="1:5" ht="21.75" customHeight="1">
      <c r="A22" s="133"/>
      <c r="B22" s="134"/>
      <c r="C22" s="133"/>
      <c r="D22" s="133"/>
      <c r="E22" s="133"/>
    </row>
    <row r="23" spans="1:5" ht="15">
      <c r="A23" s="133"/>
      <c r="B23" s="133"/>
      <c r="C23" s="135"/>
      <c r="D23" s="135"/>
      <c r="E23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GEG</cp:lastModifiedBy>
  <cp:lastPrinted>2018-04-26T10:05:34Z</cp:lastPrinted>
  <dcterms:created xsi:type="dcterms:W3CDTF">2014-08-22T10:00:46Z</dcterms:created>
  <dcterms:modified xsi:type="dcterms:W3CDTF">2018-04-27T11:51:34Z</dcterms:modified>
  <cp:category/>
  <cp:version/>
  <cp:contentType/>
  <cp:contentStatus/>
</cp:coreProperties>
</file>